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dc10c15fd9c43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819E7E-2917-47CF-AB8D-6B7C0E2BB57C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M19" i="57" s="1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8" i="52" l="1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<sst xmlns="http://schemas.openxmlformats.org/spreadsheetml/2006/main" count="948" uniqueCount="341">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</sst>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9d583913475641bc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17.083480000000002</c:v>
                </c:pt>
                <c:pt idx="1">
                  <c:v>22.229109999999999</c:v>
                </c:pt>
                <c:pt idx="2">
                  <c:v>16.646132000000001</c:v>
                </c:pt>
                <c:pt idx="3">
                  <c:v>9.2988350000000004</c:v>
                </c:pt>
                <c:pt idx="4">
                  <c:v>26.29692</c:v>
                </c:pt>
                <c:pt idx="5">
                  <c:v>8.5243590000000005</c:v>
                </c:pt>
                <c:pt idx="6">
                  <c:v>7.6191411685739077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43.781094527363187</c:v>
                </c:pt>
                <c:pt idx="1">
                  <c:v>3.33889816360601</c:v>
                </c:pt>
                <c:pt idx="2">
                  <c:v>71.13095238095238</c:v>
                </c:pt>
                <c:pt idx="3">
                  <c:v>62.5</c:v>
                </c:pt>
                <c:pt idx="4">
                  <c:v>15.228426395939088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61.358120182434057</c:v>
                </c:pt>
                <c:pt idx="1">
                  <c:v>68.717232444687355</c:v>
                </c:pt>
                <c:pt idx="2" formatCode="#,##0.0">
                  <c:v>14.378539644012944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948</c:v>
                </c:pt>
                <c:pt idx="1">
                  <c:v>1862</c:v>
                </c:pt>
                <c:pt idx="2">
                  <c:v>2583</c:v>
                </c:pt>
                <c:pt idx="3">
                  <c:v>5393</c:v>
                </c:pt>
                <c:pt idx="4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6.7</c:v>
                </c:pt>
                <c:pt idx="1">
                  <c:v>28.2</c:v>
                </c:pt>
                <c:pt idx="2">
                  <c:v>13.798977853492332</c:v>
                </c:pt>
                <c:pt idx="3">
                  <c:v>8.011363636363626</c:v>
                </c:pt>
                <c:pt idx="4">
                  <c:v>8.1360390830514842</c:v>
                </c:pt>
                <c:pt idx="5">
                  <c:v>30.634307867581366</c:v>
                </c:pt>
                <c:pt idx="6">
                  <c:v>13.187019320952917</c:v>
                </c:pt>
                <c:pt idx="7">
                  <c:v>47.088418894996735</c:v>
                </c:pt>
                <c:pt idx="8">
                  <c:v>36.871160372900285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13.187019320952917</c:v>
                </c:pt>
                <c:pt idx="1">
                  <c:v>6.4</c:v>
                </c:pt>
                <c:pt idx="2">
                  <c:v>24.532173965918247</c:v>
                </c:pt>
                <c:pt idx="3">
                  <c:v>37.861982133221417</c:v>
                </c:pt>
                <c:pt idx="4">
                  <c:v>17.121865516690622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618.54838709677415</c:v>
                </c:pt>
                <c:pt idx="1">
                  <c:v>481.97465072735127</c:v>
                </c:pt>
                <c:pt idx="2">
                  <c:v>789.8925487045592</c:v>
                </c:pt>
                <c:pt idx="3">
                  <c:v>1089.4819760455937</c:v>
                </c:pt>
                <c:pt idx="4" formatCode="#,##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15.880327563744649</c:v>
                </c:pt>
                <c:pt idx="1">
                  <c:v>7.2712346765432034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3.8823250484055793</c:v>
                </c:pt>
                <c:pt idx="1">
                  <c:v>4.1000000000000005</c:v>
                </c:pt>
                <c:pt idx="2">
                  <c:v>10.323468685478321</c:v>
                </c:pt>
                <c:pt idx="3">
                  <c:v>21.121839781538331</c:v>
                </c:pt>
                <c:pt idx="4">
                  <c:v>1.2715122124312497</c:v>
                </c:pt>
                <c:pt idx="5">
                  <c:v>14.955090482722003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6.8297347273097984</c:v>
                </c:pt>
                <c:pt idx="1">
                  <c:v>6.5687726225732144</c:v>
                </c:pt>
                <c:pt idx="2">
                  <c:v>6.9629538225293413</c:v>
                </c:pt>
                <c:pt idx="3">
                  <c:v>2.0545409674234945</c:v>
                </c:pt>
                <c:pt idx="4">
                  <c:v>0.90764505868158385</c:v>
                </c:pt>
                <c:pt idx="5">
                  <c:v>6.6236152243062412</c:v>
                </c:pt>
                <c:pt idx="6">
                  <c:v>3.4948447954370958</c:v>
                </c:pt>
                <c:pt idx="7">
                  <c:v>1.2373862016014041</c:v>
                </c:pt>
                <c:pt idx="8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37.92</c:v>
                </c:pt>
                <c:pt idx="1">
                  <c:v>1.49</c:v>
                </c:pt>
                <c:pt idx="2">
                  <c:v>15.3</c:v>
                </c:pt>
                <c:pt idx="3">
                  <c:v>11.3</c:v>
                </c:pt>
                <c:pt idx="4">
                  <c:v>12.93365</c:v>
                </c:pt>
                <c:pt idx="5">
                  <c:v>7.06</c:v>
                </c:pt>
                <c:pt idx="6">
                  <c:v>18.830179999999999</c:v>
                </c:pt>
                <c:pt idx="7">
                  <c:v>41.31</c:v>
                </c:pt>
                <c:pt idx="8">
                  <c:v>13.05475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11782.016215688191</c:v>
                </c:pt>
                <c:pt idx="1">
                  <c:v>6563.2021099931617</c:v>
                </c:pt>
                <c:pt idx="2">
                  <c:v>1835.254469082739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860.84790465956826</c:v>
                </c:pt>
                <c:pt idx="1">
                  <c:v>954.86959070040041</c:v>
                </c:pt>
                <c:pt idx="2" formatCode="0.0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69.40974773450894</c:v>
                </c:pt>
                <c:pt idx="1">
                  <c:v>52.503265128428389</c:v>
                </c:pt>
                <c:pt idx="2">
                  <c:v>28.2</c:v>
                </c:pt>
                <c:pt idx="3">
                  <c:v>23.5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7.8259092766653051</c:v>
                </c:pt>
                <c:pt idx="1">
                  <c:v>8.1360390830514842</c:v>
                </c:pt>
                <c:pt idx="2">
                  <c:v>13.187019320952917</c:v>
                </c:pt>
                <c:pt idx="3">
                  <c:v>11.116631474351012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28.44053851907255</c:v>
                </c:pt>
                <c:pt idx="1">
                  <c:v>17.121865516690622</c:v>
                </c:pt>
                <c:pt idx="2" formatCode="#,##0.0">
                  <c:v>27.983795712834993</c:v>
                </c:pt>
                <c:pt idx="3">
                  <c:v>1.3700007539165771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1985.7211231652841</c:v>
                </c:pt>
                <c:pt idx="1">
                  <c:v>1134.6385542168675</c:v>
                </c:pt>
                <c:pt idx="2" formatCode="#,##0">
                  <c:v>1618.5161668457556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63.774678500271683</c:v>
                </c:pt>
                <c:pt idx="1">
                  <c:v>10.000429941098069</c:v>
                </c:pt>
                <c:pt idx="2" formatCode="0.0">
                  <c:v>70.348991082666217</c:v>
                </c:pt>
                <c:pt idx="3">
                  <c:v>16.30593607305936</c:v>
                </c:pt>
                <c:pt idx="4" formatCode="0.0">
                  <c:v>7.4737068040352002</c:v>
                </c:pt>
                <c:pt idx="5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24.768182800012344</c:v>
                </c:pt>
                <c:pt idx="1">
                  <c:v>18.494389962122778</c:v>
                </c:pt>
                <c:pt idx="2">
                  <c:v>25.809366215567518</c:v>
                </c:pt>
                <c:pt idx="3">
                  <c:v>14.561579461609739</c:v>
                </c:pt>
                <c:pt idx="4">
                  <c:v>55.737016030214981</c:v>
                </c:pt>
                <c:pt idx="5">
                  <c:v>4.7254139563873165</c:v>
                </c:pt>
                <c:pt idx="6">
                  <c:v>101.12055308148872</c:v>
                </c:pt>
                <c:pt idx="7">
                  <c:v>41.5620960661117</c:v>
                </c:pt>
                <c:pt idx="8">
                  <c:v>83.044164037854898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22.73502884537255</c:v>
                </c:pt>
                <c:pt idx="1">
                  <c:v>7.1575342465753424</c:v>
                </c:pt>
                <c:pt idx="2">
                  <c:v>7.915637978220512</c:v>
                </c:pt>
                <c:pt idx="3">
                  <c:v>1.3333078276838319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Greater Dandenong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163792</c:v>
                </c:pt>
                <c:pt idx="1">
                  <c:v>17.083480000000002</c:v>
                </c:pt>
                <c:pt idx="2">
                  <c:v>22.229109999999999</c:v>
                </c:pt>
                <c:pt idx="3" formatCode="0">
                  <c:v>16.646132000000001</c:v>
                </c:pt>
                <c:pt idx="4">
                  <c:v>294.27566669922828</c:v>
                </c:pt>
                <c:pt idx="5">
                  <c:v>0</c:v>
                </c:pt>
                <c:pt idx="6">
                  <c:v>0</c:v>
                </c:pt>
                <c:pt idx="7">
                  <c:v>2.0545409674234945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{8A6A4D83-EBCF-4DB2-B0B9-9298A2F1018E}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{004CF16D-FC44-4840-B2B3-FD3271985F0D}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{617DCA53-E60D-469D-AA72-052FC61974ED}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{62AF6A0F-55B6-4E2E-9A15-6C8D9BF3D40E}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{0DA95103-38D6-41EF-AD96-42F1DC5D357C}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{C6C41133-E751-4909-9E0C-07C40BDE0D64}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{C5FEF824-B659-4934-8065-168E0E06298A}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{5F926580-5B76-4F08-A0BB-0C97C23B0594}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{1A0E5C16-84EB-411D-8A13-4C8EE536ABF4}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{94FFCB62-F13F-41E5-B835-8C5B4A57357F}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{FB0F7FF1-F52A-4736-8F6C-9B164C1C3382}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{07011767-D4EE-4FE9-8C84-2A7DDAADDA69}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{68F178FB-778E-4A56-A361-69D74020E517}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{CABDF6B6-3131-4AF5-A961-7B76FA6FBCFD}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{ED3C06FF-AA8E-4158-9ACE-FFEDB32196C3}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{2D6E664D-A697-447C-816E-FDC12449134A}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{EC7758C2-6B07-485C-9E77-9273D816E123}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{48FCA12C-4FA8-471D-9FF1-D66F9AFE7F51}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{D09E96B0-EB52-4187-A6FF-2109657B9A12}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{E21316D3-E846-4D4D-8661-8F65D6FFC80A}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{791DC841-557E-49C7-8A2B-0040864744B5}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{EA995974-3584-4FE4-8DEF-ED44560F39FB}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{4851DFD2-F5AE-4FD8-84ED-4DA105772ADB}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{C8305441-CD14-42DA-B713-D49AF5DE4045}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{F8B699E2-45CB-4D8E-98D0-513FBF3CE530}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{BA16D847-7F6D-4259-8DA2-54B7FDB748BF}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{C1B072C4-FB8B-4AD8-A208-4810AD8F91E8}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{2C5B4A7A-4D62-4EB3-BA90-F15C00206D9E}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26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>
      <selection activeCell="H9" sqref="H9"/>
    </sheetView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07"/>
      <c r="C1" s="107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09"/>
      <c r="C2" s="109"/>
      <c r="D2" s="109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08" t="s">
        <v>288</v>
      </c>
      <c r="C3" s="10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06" t="s">
        <v>291</v>
      </c>
      <c r="C13" s="106"/>
      <c r="D13" s="106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0" t="s">
        <v>331</v>
      </c>
      <c r="C14" s="110"/>
      <c r="D14" s="11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2" t="s">
        <v>336</v>
      </c>
      <c r="C15" s="112"/>
      <c r="D15" s="112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2"/>
      <c r="C16" s="112"/>
      <c r="D16" s="112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1" t="s">
        <v>292</v>
      </c>
      <c r="C17" s="111"/>
      <c r="D17" s="111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06"/>
      <c r="C19" s="106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7">
      <c r="C8" s="3"/>
      <c r="G8" s="8"/>
      <c r="H8" s="8"/>
      <c r="I8" s="8"/>
      <c r="K8" s="8"/>
      <c r="L8" s="8"/>
      <c r="M8" s="122" t="str">
        <f>IF(Community!$K$11=1,CONCATENATE(G12,":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B11" s="103" t="s">
        <v>338</v>
      </c>
      <c r="C11" s="3"/>
      <c r="G11" s="28"/>
      <c r="H11" s="9">
        <v>26</v>
      </c>
      <c r="I11" s="8"/>
      <c r="J11" s="9">
        <v>80</v>
      </c>
      <c r="K11" s="12">
        <v>1</v>
      </c>
      <c r="L11" s="8"/>
      <c r="M11" s="122"/>
      <c r="N11" s="122"/>
    </row>
    <row r="12" spans="1:17" ht="16.5" customHeight="1">
      <c r="B12" s="124" t="str">
        <f>IF(Community!K11=2,"A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</v>
      </c>
      <c r="B13" s="120" t="str">
        <f>'Data 3 Table'!C3</f>
        <v>Population, 2023</v>
      </c>
      <c r="C13" s="120"/>
      <c r="D13" s="120"/>
      <c r="E13" s="120"/>
      <c r="F13" s="120"/>
      <c r="G13" s="127">
        <f>VLOOKUP($H$11,'Data 3 Table'!$A$4:$FZ$84,2+$A13)</f>
        <v>163792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-96.798659045617626</v>
      </c>
      <c r="N13" s="114" t="str">
        <f>'Data 3 Table'!C85</f>
        <v>Australian Bureau of Statistics, 2024 (update 2025)</v>
      </c>
      <c r="O13" s="114"/>
      <c r="P13" s="114"/>
      <c r="Q13" s="5"/>
    </row>
    <row r="14" spans="1:17" ht="22.95" customHeight="1">
      <c r="A14" s="10">
        <v>2</v>
      </c>
      <c r="B14" s="119" t="str">
        <f>'Data 3 Table'!D3</f>
        <v>Per cent of residents who feel valued by society, 'never' or 'not often', 2020</v>
      </c>
      <c r="C14" s="119"/>
      <c r="D14" s="119"/>
      <c r="E14" s="119"/>
      <c r="F14" s="119"/>
      <c r="G14" s="121">
        <f>VLOOKUP($H$11,'Data 3 Table'!$A$4:$FZ$84,2+$A14)</f>
        <v>17.083480000000002</v>
      </c>
      <c r="H14" s="121"/>
      <c r="I14" s="11"/>
      <c r="J14" s="128">
        <f>VLOOKUP($J$11,'Data 3 Table'!$A$4:$FZ$84,2+$A14)</f>
        <v>10.786945193548386</v>
      </c>
      <c r="K14" s="128"/>
      <c r="M14" s="82">
        <f t="shared" si="0"/>
        <v>58.371806785646228</v>
      </c>
      <c r="N14" s="113" t="str">
        <f>'Data 3 Table'!D85</f>
        <v>Victorian Population Health Survey, 2022 (update 2026)</v>
      </c>
      <c r="O14" s="114"/>
      <c r="P14" s="114"/>
      <c r="Q14" s="5"/>
    </row>
    <row r="15" spans="1:17" ht="22.95" customHeight="1">
      <c r="A15" s="10">
        <v>3</v>
      </c>
      <c r="B15" s="120" t="str">
        <f>'Data 3 Table'!E3</f>
        <v>Per cent of residents who feel that most people could be trusted, 'never' or 'not often', 2020</v>
      </c>
      <c r="C15" s="120"/>
      <c r="D15" s="120"/>
      <c r="E15" s="120"/>
      <c r="F15" s="120"/>
      <c r="G15" s="126">
        <f>VLOOKUP($H$11,'Data 3 Table'!$A$4:$FZ$84,2+$A15)</f>
        <v>22.229109999999999</v>
      </c>
      <c r="H15" s="126"/>
      <c r="I15" s="11"/>
      <c r="J15" s="126">
        <f>VLOOKUP($J$11,'Data 3 Table'!$A$4:$FZ$84,2+$A15)</f>
        <v>13.612406290322577</v>
      </c>
      <c r="K15" s="126"/>
      <c r="M15" s="81">
        <f t="shared" si="0"/>
        <v>63.300371190090523</v>
      </c>
      <c r="N15" s="113" t="str">
        <f>'Data 3 Table'!E85</f>
        <v>Victorian Population Health Survey, 2022 (update 2026)</v>
      </c>
      <c r="O15" s="114"/>
      <c r="P15" s="114"/>
      <c r="Q15" s="5"/>
    </row>
    <row r="16" spans="1:17" ht="22.95" customHeight="1">
      <c r="A16" s="10">
        <v>4</v>
      </c>
      <c r="B16" s="119" t="str">
        <f>'Data 3 Table'!F3</f>
        <v>Per cent of residents who talk to friends a few times a month or less often, 2020</v>
      </c>
      <c r="C16" s="119"/>
      <c r="D16" s="119"/>
      <c r="E16" s="119"/>
      <c r="F16" s="119"/>
      <c r="G16" s="121">
        <f>VLOOKUP($H$11,'Data 3 Table'!$A$4:$FZ$84,2+$A16)</f>
        <v>16.646132000000001</v>
      </c>
      <c r="H16" s="121"/>
      <c r="I16" s="11"/>
      <c r="J16" s="128">
        <f>VLOOKUP($J$11,'Data 3 Table'!$A$4:$FZ$84,2+$A16)</f>
        <v>18.302908351612906</v>
      </c>
      <c r="K16" s="128"/>
      <c r="M16" s="82">
        <f t="shared" si="0"/>
        <v>-9.0519840879108422</v>
      </c>
      <c r="N16" s="113" t="str">
        <f>'Data 3 Table'!F85</f>
        <v>Victorian Population Health Survey, 2022 (update 2026)</v>
      </c>
      <c r="O16" s="114"/>
      <c r="P16" s="114"/>
    </row>
    <row r="17" spans="1:17" ht="22.95" customHeight="1">
      <c r="A17" s="10">
        <v>5</v>
      </c>
      <c r="B17" s="120" t="str">
        <f>'Data 3 Table'!G3</f>
        <v>Per cent of residents who have no close friends or family that they talk to regularly 2020</v>
      </c>
      <c r="C17" s="120"/>
      <c r="D17" s="120"/>
      <c r="E17" s="120"/>
      <c r="F17" s="120"/>
      <c r="G17" s="126">
        <f>VLOOKUP($H$11,'Data 3 Table'!$A$4:$FZ$84,2+$A17)</f>
        <v>9.2988350000000004</v>
      </c>
      <c r="H17" s="126"/>
      <c r="I17" s="11"/>
      <c r="J17" s="126">
        <f>VLOOKUP($J$11,'Data 3 Table'!$A$4:$FZ$84,2+$A17)</f>
        <v>4.7193062758620687</v>
      </c>
      <c r="K17" s="126"/>
      <c r="M17" s="81">
        <f t="shared" si="0"/>
        <v>97.038175876843169</v>
      </c>
      <c r="N17" s="113" t="str">
        <f>'Data 3 Table'!G85</f>
        <v>Victorian Population Health Survey, 2022 (update 2026)</v>
      </c>
      <c r="O17" s="114"/>
      <c r="P17" s="114"/>
      <c r="Q17" s="5"/>
    </row>
    <row r="18" spans="1:17" ht="22.95" customHeight="1">
      <c r="A18" s="10">
        <v>6</v>
      </c>
      <c r="B18" s="130" t="str">
        <f>'Data 3 Table'!H3</f>
        <v>Per cent of residents with 'low/medium' satisfaction with life, 2020</v>
      </c>
      <c r="C18" s="119"/>
      <c r="D18" s="119"/>
      <c r="E18" s="119"/>
      <c r="F18" s="119"/>
      <c r="G18" s="121">
        <f>VLOOKUP($H$11,'Data 3 Table'!$A$4:$FZ$84,2+$A18)</f>
        <v>26.29692</v>
      </c>
      <c r="H18" s="121"/>
      <c r="I18" s="11"/>
      <c r="J18" s="128">
        <f>VLOOKUP($J$11,'Data 3 Table'!$A$4:$FZ$84,2+$A18)</f>
        <v>22.516987096774194</v>
      </c>
      <c r="K18" s="128"/>
      <c r="M18" s="82">
        <f t="shared" si="0"/>
        <v>16.787027886902877</v>
      </c>
      <c r="N18" s="113" t="str">
        <f>'Data 3 Table'!H85</f>
        <v>Victorian Population Health Survey, 2022 (update 2026)</v>
      </c>
      <c r="O18" s="114"/>
      <c r="P18" s="114"/>
    </row>
    <row r="19" spans="1:17" ht="22.95" customHeight="1">
      <c r="A19" s="10">
        <v>7</v>
      </c>
      <c r="B19" s="131" t="str">
        <f>'Data 3 Table'!I3</f>
        <v>Per cent of residents who feel that 'Multiculturalism makes life in your area better' - 'never' or 'not often', 2020</v>
      </c>
      <c r="C19" s="120"/>
      <c r="D19" s="120"/>
      <c r="E19" s="120"/>
      <c r="F19" s="120"/>
      <c r="G19" s="126">
        <f>VLOOKUP($H$11,'Data 3 Table'!$A$4:$FZ$84,2+$A19)</f>
        <v>8.5243590000000005</v>
      </c>
      <c r="H19" s="126"/>
      <c r="I19" s="11"/>
      <c r="J19" s="126">
        <f>VLOOKUP($J$11,'Data 3 Table'!$A$4:$FZ$84,2+$A19)</f>
        <v>6.4880088333333328</v>
      </c>
      <c r="K19" s="126"/>
      <c r="M19" s="81">
        <f t="shared" si="0"/>
        <v>31.386365508698848</v>
      </c>
      <c r="N19" s="113" t="str">
        <f>'Data 3 Table'!I85</f>
        <v>Victorian Population Health Survey, 2022 (update 2026)</v>
      </c>
      <c r="O19" s="114"/>
      <c r="P19" s="114"/>
    </row>
    <row r="20" spans="1:17" ht="22.95" customHeight="1">
      <c r="A20" s="10">
        <v>8</v>
      </c>
      <c r="B20" s="130" t="str">
        <f>'Data 3 Table'!J3</f>
        <v>Per cent of residents who engaged in voluntary work in the previous 12 months, 2021</v>
      </c>
      <c r="C20" s="119"/>
      <c r="D20" s="119"/>
      <c r="E20" s="119"/>
      <c r="F20" s="119"/>
      <c r="G20" s="121">
        <f>VLOOKUP($H$11,'Data 3 Table'!$A$4:$FZ$84,2+$A20)</f>
        <v>7.6191411685739077</v>
      </c>
      <c r="H20" s="121"/>
      <c r="I20" s="11"/>
      <c r="J20" s="128">
        <f>VLOOKUP($J$11,'Data 3 Table'!$A$4:$FZ$84,2+$A20)</f>
        <v>12.776822315721633</v>
      </c>
      <c r="K20" s="128"/>
      <c r="M20" s="82">
        <f t="shared" si="0"/>
        <v>-40.367479641642177</v>
      </c>
      <c r="N20" s="113" t="str">
        <f>'Data 3 Table'!J85</f>
        <v>Census 2021 (update 2026)</v>
      </c>
      <c r="O20" s="114"/>
      <c r="P20" s="114"/>
    </row>
    <row r="21" spans="1:17" ht="22.95" customHeight="1">
      <c r="A21" s="10">
        <v>9</v>
      </c>
      <c r="B21" s="116">
        <f>'Data 3 Table'!K3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"/>
      <c r="J21" s="118">
        <f>VLOOKUP($J$11,'Data 3 Table'!$A$4:$FZ$84,2+$A21)</f>
        <v>0</v>
      </c>
      <c r="K21" s="118"/>
      <c r="L21" s="8"/>
      <c r="M21" s="79" t="e">
        <f t="shared" si="0"/>
        <v>#DIV/0!</v>
      </c>
      <c r="N21" s="115"/>
      <c r="O21" s="115"/>
      <c r="P21" s="115"/>
    </row>
    <row r="22" spans="1:17" ht="22.95" customHeight="1">
      <c r="A22" s="10">
        <v>10</v>
      </c>
      <c r="B22" s="116">
        <f>'Data 3 Table'!L3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L22" s="8"/>
      <c r="M22" s="79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  <mergeCell ref="G17:H17"/>
    <mergeCell ref="J17:K17"/>
    <mergeCell ref="J13:K13"/>
    <mergeCell ref="J14:K14"/>
    <mergeCell ref="J15:K15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B22:F22"/>
    <mergeCell ref="G22:H22"/>
    <mergeCell ref="J22:K22"/>
    <mergeCell ref="J21:K21"/>
    <mergeCell ref="B21:F21"/>
    <mergeCell ref="G21:H21"/>
    <mergeCell ref="N20:P20"/>
    <mergeCell ref="N21:P21"/>
    <mergeCell ref="N22:P22"/>
    <mergeCell ref="N15:P15"/>
    <mergeCell ref="N16:P16"/>
    <mergeCell ref="N17:P17"/>
    <mergeCell ref="N18:P18"/>
    <mergeCell ref="N19:P19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IF(Indigenous!$K$11=1,CONCATENATE(G12,":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IF(Indigenous!K11=2,"A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11</v>
      </c>
      <c r="B13" s="120" t="str">
        <f>'Data 3 Table'!M3</f>
        <v>Indigenous population, 2021</v>
      </c>
      <c r="C13" s="120"/>
      <c r="D13" s="120"/>
      <c r="E13" s="120"/>
      <c r="F13" s="120"/>
      <c r="G13" s="127">
        <f>VLOOKUP($H$11,'Data 3 Table'!$A$4:$FZ$84,2+$A13)</f>
        <v>614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-98.065776209677423</v>
      </c>
      <c r="N13" s="114" t="str">
        <f>'Data 3 Table'!M85</f>
        <v>Census 2021 (update 2026)</v>
      </c>
      <c r="O13" s="114"/>
      <c r="P13" s="114"/>
      <c r="Q13" s="5"/>
    </row>
    <row r="14" spans="1:17" ht="22.95" customHeight="1">
      <c r="A14" s="10">
        <v>12</v>
      </c>
      <c r="B14" s="119" t="str">
        <f>'Data 3 Table'!N3</f>
        <v>Per cent population Indigenous, 2021</v>
      </c>
      <c r="C14" s="119"/>
      <c r="D14" s="119"/>
      <c r="E14" s="119"/>
      <c r="F14" s="119"/>
      <c r="G14" s="121">
        <f>VLOOKUP($H$11,'Data 3 Table'!$A$4:$FZ$84,2+$A14)</f>
        <v>0.40859513811713505</v>
      </c>
      <c r="H14" s="121"/>
      <c r="I14" s="11"/>
      <c r="J14" s="128">
        <f>VLOOKUP($J$11,'Data 3 Table'!$A$4:$FZ$84,2+$A14)</f>
        <v>0.7</v>
      </c>
      <c r="K14" s="128"/>
      <c r="M14" s="82">
        <f t="shared" si="0"/>
        <v>-41.629265983266414</v>
      </c>
      <c r="N14" s="113" t="str">
        <f>'Data 3 Table'!N85</f>
        <v>Census 2021 (update 2026)</v>
      </c>
      <c r="O14" s="114"/>
      <c r="P14" s="114"/>
      <c r="Q14" s="5"/>
    </row>
    <row r="15" spans="1:17" ht="22.95" customHeight="1">
      <c r="A15" s="10">
        <v>13</v>
      </c>
      <c r="B15" s="120" t="str">
        <f>'Data 3 Table'!O3</f>
        <v>Per cent of Indigenous people aged 15+, who left school before completing year 11, 2021</v>
      </c>
      <c r="C15" s="120"/>
      <c r="D15" s="120"/>
      <c r="E15" s="120"/>
      <c r="F15" s="120"/>
      <c r="G15" s="126">
        <f>VLOOKUP($H$11,'Data 3 Table'!$A$4:$FZ$84,2+$A15)</f>
        <v>43.781094527363187</v>
      </c>
      <c r="H15" s="126"/>
      <c r="I15" s="11"/>
      <c r="J15" s="126">
        <f>VLOOKUP($J$11,'Data 3 Table'!$A$4:$FZ$84,2+$A15)</f>
        <v>35.217370601399935</v>
      </c>
      <c r="K15" s="126"/>
      <c r="M15" s="81">
        <f t="shared" si="0"/>
        <v>24.316761245153359</v>
      </c>
      <c r="N15" s="113" t="str">
        <f>'Data 3 Table'!O85</f>
        <v>Census 2021 (update 2026)</v>
      </c>
      <c r="O15" s="114"/>
      <c r="P15" s="114"/>
      <c r="Q15" s="5"/>
    </row>
    <row r="16" spans="1:17" ht="22.95" customHeight="1">
      <c r="A16" s="10">
        <v>14</v>
      </c>
      <c r="B16" s="119" t="str">
        <f>'Data 3 Table'!P3</f>
        <v>Percent of Indigenous people aged 15+, who hold a degree, 2021</v>
      </c>
      <c r="C16" s="119"/>
      <c r="D16" s="119"/>
      <c r="E16" s="119"/>
      <c r="F16" s="119"/>
      <c r="G16" s="121">
        <f>VLOOKUP($H$11,'Data 3 Table'!$A$4:$FZ$84,2+$A16)</f>
        <v>3.33889816360601</v>
      </c>
      <c r="H16" s="121"/>
      <c r="I16" s="11"/>
      <c r="J16" s="128">
        <f>VLOOKUP($J$11,'Data 3 Table'!$A$4:$FZ$84,2+$A16)</f>
        <v>13.4</v>
      </c>
      <c r="K16" s="128"/>
      <c r="M16" s="82">
        <f t="shared" si="0"/>
        <v>-75.082849525328285</v>
      </c>
      <c r="N16" s="113" t="str">
        <f>'Data 3 Table'!P85</f>
        <v>Census 2021 (update 2026)</v>
      </c>
      <c r="O16" s="114"/>
      <c r="P16" s="114"/>
    </row>
    <row r="17" spans="1:17" ht="22.95" customHeight="1">
      <c r="A17" s="10">
        <v>15</v>
      </c>
      <c r="B17" s="120" t="str">
        <f>'Data 3 Table'!Q3</f>
        <v>Per cent of Indigenous people who are living in a rented dwelling, 2021</v>
      </c>
      <c r="C17" s="120"/>
      <c r="D17" s="120"/>
      <c r="E17" s="120"/>
      <c r="F17" s="120"/>
      <c r="G17" s="126">
        <f>VLOOKUP($H$11,'Data 3 Table'!$A$4:$FZ$84,2+$A17)</f>
        <v>71.13095238095238</v>
      </c>
      <c r="H17" s="126"/>
      <c r="I17" s="83"/>
      <c r="J17" s="126">
        <f>VLOOKUP($J$11,'Data 3 Table'!$A$4:$FZ$84,2+$A17)</f>
        <v>54.444508041897997</v>
      </c>
      <c r="K17" s="126"/>
      <c r="M17" s="81">
        <f t="shared" si="0"/>
        <v>30.648535433938097</v>
      </c>
      <c r="N17" s="113" t="str">
        <f>'Data 3 Table'!Q85</f>
        <v>Census 2021 (update 2026)</v>
      </c>
      <c r="O17" s="114"/>
      <c r="P17" s="114"/>
      <c r="Q17" s="5"/>
    </row>
    <row r="18" spans="1:17" ht="22.95" customHeight="1">
      <c r="A18" s="10">
        <v>16</v>
      </c>
      <c r="B18" s="130" t="str">
        <f>'Data 3 Table'!R3</f>
        <v>Per cent of Indigenous families with children, that are single parent families, 2021</v>
      </c>
      <c r="C18" s="119"/>
      <c r="D18" s="119"/>
      <c r="E18" s="119"/>
      <c r="F18" s="119"/>
      <c r="G18" s="121">
        <f>VLOOKUP($H$11,'Data 3 Table'!$A$4:$FZ$84,2+$A18)</f>
        <v>62.5</v>
      </c>
      <c r="H18" s="121"/>
      <c r="I18" s="11"/>
      <c r="J18" s="128">
        <f>VLOOKUP($J$11,'Data 3 Table'!$A$4:$FZ$84,2+$A18)</f>
        <v>43.52080989876265</v>
      </c>
      <c r="K18" s="128"/>
      <c r="M18" s="82">
        <f t="shared" si="0"/>
        <v>43.609459808736126</v>
      </c>
      <c r="N18" s="113" t="str">
        <f>'Data 3 Table'!R85</f>
        <v>Census 2021 (update 2026)</v>
      </c>
      <c r="O18" s="114"/>
      <c r="P18" s="114"/>
    </row>
    <row r="19" spans="1:17" ht="22.95" customHeight="1">
      <c r="A19" s="10">
        <v>17</v>
      </c>
      <c r="B19" s="131" t="str">
        <f>'Data 3 Table'!S3</f>
        <v>Unemployment rate among Indigenous persons, 2021</v>
      </c>
      <c r="C19" s="120"/>
      <c r="D19" s="120"/>
      <c r="E19" s="120"/>
      <c r="F19" s="120"/>
      <c r="G19" s="126">
        <f>VLOOKUP($H$11,'Data 3 Table'!$A$4:$FZ$84,2+$A19)</f>
        <v>15.228426395939088</v>
      </c>
      <c r="H19" s="126"/>
      <c r="I19" s="11"/>
      <c r="J19" s="126">
        <f>VLOOKUP($J$11,'Data 3 Table'!$A$4:$FZ$84,2+$A19)</f>
        <v>8.6</v>
      </c>
      <c r="K19" s="126"/>
      <c r="M19" s="81">
        <f t="shared" si="0"/>
        <v>77.074725534175457</v>
      </c>
      <c r="N19" s="113" t="str">
        <f>'Data 3 Table'!S85</f>
        <v>Census 2021 (update 2026)</v>
      </c>
      <c r="O19" s="114"/>
      <c r="P19" s="114"/>
    </row>
    <row r="20" spans="1:17" ht="22.95" customHeight="1">
      <c r="A20" s="10">
        <v>18</v>
      </c>
      <c r="B20" s="130" t="str">
        <f>'Data 3 Table'!T3</f>
        <v>Median personal gross weekly income, Indigenous persons aged 15+, 2021</v>
      </c>
      <c r="C20" s="119"/>
      <c r="D20" s="119"/>
      <c r="E20" s="119"/>
      <c r="F20" s="119"/>
      <c r="G20" s="132">
        <f>VLOOKUP($H$11,'Data 3 Table'!$A$4:$FZ$84,2+$A20)</f>
        <v>489</v>
      </c>
      <c r="H20" s="132"/>
      <c r="I20" s="11"/>
      <c r="J20" s="133">
        <f>VLOOKUP($J$11,'Data 3 Table'!$A$4:$FZ$84,2+$A20)</f>
        <v>694</v>
      </c>
      <c r="K20" s="133"/>
      <c r="M20" s="82">
        <f t="shared" si="0"/>
        <v>-29.538904899135449</v>
      </c>
      <c r="N20" s="113" t="str">
        <f>'Data 3 Table'!T85</f>
        <v>Census 2021 (update 2026)</v>
      </c>
      <c r="O20" s="114"/>
      <c r="P20" s="114"/>
    </row>
    <row r="21" spans="1:17" ht="22.95" customHeight="1">
      <c r="A21" s="10">
        <v>19</v>
      </c>
      <c r="B21" s="116">
        <f>'Data 3 Table'!K3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"/>
      <c r="J21" s="118">
        <f>VLOOKUP($J$11,'Data 3 Table'!$A$4:$FZ$84,2+$A21)</f>
        <v>0</v>
      </c>
      <c r="K21" s="118"/>
      <c r="M21" s="27" t="e">
        <f t="shared" si="0"/>
        <v>#DIV/0!</v>
      </c>
      <c r="N21" s="115"/>
      <c r="O21" s="115"/>
      <c r="P21" s="115"/>
    </row>
    <row r="22" spans="1:17" ht="22.95" customHeight="1">
      <c r="A22" s="10">
        <v>20</v>
      </c>
      <c r="B22" s="116">
        <f>'Data 3 Table'!L3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IF('Cultural diversity'!$K$11=1,CONCATENATE(G12,":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IF('Cultural diversity'!K11=2,"A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21</v>
      </c>
      <c r="B13" s="120" t="str">
        <f>'Data 3 Table'!W3</f>
        <v>Population born overseas, 2021</v>
      </c>
      <c r="C13" s="120"/>
      <c r="D13" s="120"/>
      <c r="E13" s="120"/>
      <c r="F13" s="120"/>
      <c r="G13" s="127">
        <f>VLOOKUP($H$11,'Data 3 Table'!$A$4:$FZ$84,2+$A13)</f>
        <v>92020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-94.758570722271457</v>
      </c>
      <c r="N13" s="114" t="str">
        <f>'Data 3 Table'!W85</f>
        <v>Census 2021 (update 2026)</v>
      </c>
      <c r="O13" s="114"/>
      <c r="P13" s="114"/>
      <c r="Q13" s="5"/>
    </row>
    <row r="14" spans="1:17" ht="22.95" customHeight="1">
      <c r="A14" s="10">
        <v>22</v>
      </c>
      <c r="B14" s="119" t="str">
        <f>'Data 3 Table'!X3</f>
        <v>Per cent of residents born overseas, 2021</v>
      </c>
      <c r="C14" s="119"/>
      <c r="D14" s="119"/>
      <c r="E14" s="119"/>
      <c r="F14" s="119"/>
      <c r="G14" s="121">
        <f>VLOOKUP($H$11,'Data 3 Table'!$A$4:$FZ$84,2+$A14)</f>
        <v>61.358120182434057</v>
      </c>
      <c r="H14" s="121"/>
      <c r="I14" s="11"/>
      <c r="J14" s="128">
        <f>VLOOKUP($J$11,'Data 3 Table'!$A$4:$FZ$84,2+$A14)</f>
        <v>37.331713865354935</v>
      </c>
      <c r="K14" s="128"/>
      <c r="M14" s="82">
        <f t="shared" si="0"/>
        <v>64.359237306210105</v>
      </c>
      <c r="N14" s="113" t="str">
        <f>'Data 3 Table'!X85</f>
        <v>Census 2021 (update 2026)</v>
      </c>
      <c r="O14" s="114"/>
      <c r="P14" s="114"/>
      <c r="Q14" s="5"/>
    </row>
    <row r="15" spans="1:17" ht="22.95" customHeight="1">
      <c r="A15" s="10">
        <v>23</v>
      </c>
      <c r="B15" s="120" t="str">
        <f>'Data 3 Table'!Y3</f>
        <v>Per cent of residents who speak languages other than English at home, 2021</v>
      </c>
      <c r="C15" s="120"/>
      <c r="D15" s="120"/>
      <c r="E15" s="120"/>
      <c r="F15" s="120"/>
      <c r="G15" s="126">
        <f>VLOOKUP($H$11,'Data 3 Table'!$A$4:$FZ$84,2+$A15)</f>
        <v>68.717232444687355</v>
      </c>
      <c r="H15" s="126"/>
      <c r="I15" s="11"/>
      <c r="J15" s="126">
        <f>VLOOKUP($J$11,'Data 3 Table'!$A$4:$FZ$84,2+$A15)</f>
        <v>35.860525267540865</v>
      </c>
      <c r="K15" s="126"/>
      <c r="M15" s="81">
        <f t="shared" si="0"/>
        <v>91.62360822106173</v>
      </c>
      <c r="N15" s="113" t="str">
        <f>'Data 3 Table'!Y85</f>
        <v>Census 2021 (update 2026)</v>
      </c>
      <c r="O15" s="114"/>
      <c r="P15" s="114"/>
      <c r="Q15" s="5"/>
    </row>
    <row r="16" spans="1:17" ht="22.95" customHeight="1">
      <c r="A16" s="10">
        <v>24</v>
      </c>
      <c r="B16" s="119" t="str">
        <f>'Data 3 Table'!Z3</f>
        <v>Per cent of residents who speak English 'not well' or ' not at all', 2021</v>
      </c>
      <c r="C16" s="119"/>
      <c r="D16" s="119"/>
      <c r="E16" s="119"/>
      <c r="F16" s="119"/>
      <c r="G16" s="141">
        <f>VLOOKUP($H$11,'Data 3 Table'!$A$4:$FZ$84,2+$A16)</f>
        <v>14.378539644012944</v>
      </c>
      <c r="H16" s="141"/>
      <c r="I16" s="83"/>
      <c r="J16" s="142">
        <f>VLOOKUP($J$11,'Data 3 Table'!$A$4:$FZ$84,2+$A16)</f>
        <v>4.4758680290783381</v>
      </c>
      <c r="K16" s="142"/>
      <c r="M16" s="82">
        <f t="shared" si="0"/>
        <v>221.24583545806072</v>
      </c>
      <c r="N16" s="113" t="str">
        <f>'Data 3 Table'!Z85</f>
        <v>Census 2021 (update 2026)</v>
      </c>
      <c r="O16" s="114"/>
      <c r="P16" s="114"/>
    </row>
    <row r="17" spans="1:17" ht="22.95" customHeight="1">
      <c r="A17" s="10">
        <v>25</v>
      </c>
      <c r="B17" s="140" t="str">
        <f>'Data 3 Table'!AA3</f>
        <v>Humanitarian settlement, 2023/24</v>
      </c>
      <c r="C17" s="120"/>
      <c r="D17" s="120"/>
      <c r="E17" s="120"/>
      <c r="F17" s="120"/>
      <c r="G17" s="127">
        <f>VLOOKUP($H$11,'Data 3 Table'!$A$4:$FZ$84,2+$A17)</f>
        <v>948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-84.587871890749469</v>
      </c>
      <c r="N17" s="113" t="str">
        <f>'Data 3 Table'!AA85</f>
        <v>Dept. Home Affairs, 2024 (update 2025)</v>
      </c>
      <c r="O17" s="114"/>
      <c r="P17" s="114"/>
      <c r="Q17" s="5"/>
    </row>
    <row r="18" spans="1:17" ht="22.95" customHeight="1">
      <c r="A18" s="10">
        <v>26</v>
      </c>
      <c r="B18" s="137" t="str">
        <f>'Data 3 Table'!AB3</f>
        <v>Family settlement, 2023/24</v>
      </c>
      <c r="C18" s="119"/>
      <c r="D18" s="119"/>
      <c r="E18" s="119"/>
      <c r="F18" s="119"/>
      <c r="G18" s="138">
        <f>VLOOKUP($H$11,'Data 3 Table'!$A$4:$FZ$84,2+$A18)</f>
        <v>1862</v>
      </c>
      <c r="H18" s="138"/>
      <c r="I18" s="83"/>
      <c r="J18" s="139">
        <f>VLOOKUP($J$11,'Data 3 Table'!$A$4:$FZ$84,2+$A18)</f>
        <v>23746</v>
      </c>
      <c r="K18" s="139"/>
      <c r="M18" s="82">
        <f t="shared" si="0"/>
        <v>-92.158679356523194</v>
      </c>
      <c r="N18" s="113" t="str">
        <f>'Data 3 Table'!AB85</f>
        <v>Dept. Home Affairs, 2024 (update 2025)</v>
      </c>
      <c r="O18" s="114"/>
      <c r="P18" s="114"/>
    </row>
    <row r="19" spans="1:17" ht="22.95" customHeight="1">
      <c r="A19" s="10">
        <v>27</v>
      </c>
      <c r="B19" s="135" t="str">
        <f>'Data 3 Table'!AC3</f>
        <v>Skilled settlement, 2023/24</v>
      </c>
      <c r="C19" s="120"/>
      <c r="D19" s="120"/>
      <c r="E19" s="120"/>
      <c r="F19" s="120"/>
      <c r="G19" s="127">
        <f>VLOOKUP($H$11,'Data 3 Table'!$A$4:$FZ$84,2+$A19)</f>
        <v>2583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-95.542016879239227</v>
      </c>
      <c r="N19" s="113" t="str">
        <f>'Data 3 Table'!AC85</f>
        <v>Dept. Home Affairs, 2024 (update 2025)</v>
      </c>
      <c r="O19" s="114"/>
      <c r="P19" s="114"/>
    </row>
    <row r="20" spans="1:17" ht="22.95" customHeight="1">
      <c r="A20" s="10">
        <v>28</v>
      </c>
      <c r="B20" s="137" t="str">
        <f>'Data 3 Table'!AD3</f>
        <v>Total settlement, 2023/24</v>
      </c>
      <c r="C20" s="119"/>
      <c r="D20" s="119"/>
      <c r="E20" s="119"/>
      <c r="F20" s="119"/>
      <c r="G20" s="138">
        <f>VLOOKUP($H$11,'Data 3 Table'!$A$4:$FZ$84,2+$A20)</f>
        <v>5393</v>
      </c>
      <c r="H20" s="138"/>
      <c r="I20" s="83"/>
      <c r="J20" s="139">
        <f>VLOOKUP($J$11,'Data 3 Table'!$A$4:$FZ$84,2+$A20)</f>
        <v>87838</v>
      </c>
      <c r="K20" s="139"/>
      <c r="M20" s="82">
        <f t="shared" si="0"/>
        <v>-93.860288257929369</v>
      </c>
      <c r="N20" s="113" t="str">
        <f>'Data 3 Table'!AD85</f>
        <v>Dept. Home Affairs, 2024 (update 2025)</v>
      </c>
      <c r="O20" s="114"/>
      <c r="P20" s="114"/>
    </row>
    <row r="21" spans="1:17" ht="22.95" customHeight="1">
      <c r="A21" s="10">
        <v>29</v>
      </c>
      <c r="B21" s="135" t="str">
        <f>'Data 3 Table'!AE3</f>
        <v>Number of asylum seekers, 2024</v>
      </c>
      <c r="C21" s="120"/>
      <c r="D21" s="120"/>
      <c r="E21" s="120"/>
      <c r="F21" s="120"/>
      <c r="G21" s="127">
        <f>VLOOKUP($H$11,'Data 3 Table'!$A$4:$FZ$84,2+$A21)</f>
        <v>705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-80.997304582210234</v>
      </c>
      <c r="N21" s="114" t="str">
        <f>'Data 3 Table'!AE85</f>
        <v>Dept. Home Affairs, 2024 (update 2025)</v>
      </c>
      <c r="O21" s="114"/>
      <c r="P21" s="114"/>
    </row>
    <row r="22" spans="1:17" ht="22.95" customHeight="1">
      <c r="A22" s="10">
        <v>30</v>
      </c>
      <c r="B22" s="136">
        <f>'Data 3 Table'!AF3</f>
        <v>0</v>
      </c>
      <c r="C22" s="117"/>
      <c r="D22" s="117"/>
      <c r="E22" s="117"/>
      <c r="F22" s="117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IF(Education!$K$11=1,CONCATENATE(G12,":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IF(Education!K11=2,"A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31</v>
      </c>
      <c r="B13" s="120" t="str">
        <f>'Data 3 Table'!AG3</f>
        <v>Per cent prep pupils who had not attended pre-school before their first year at school: 2021</v>
      </c>
      <c r="C13" s="120"/>
      <c r="D13" s="120"/>
      <c r="E13" s="120"/>
      <c r="F13" s="120"/>
      <c r="G13" s="126">
        <f>VLOOKUP($H$11,'Data 3 Table'!$A$4:$FZ$84,2+$A13)</f>
        <v>6.7</v>
      </c>
      <c r="H13" s="126"/>
      <c r="I13" s="11"/>
      <c r="J13" s="126">
        <f>VLOOKUP($J$11,'Data 3 Table'!$A$4:$FZ$84,2+$A13)</f>
        <v>3.787096774193548</v>
      </c>
      <c r="K13" s="126"/>
      <c r="M13" s="81">
        <f t="shared" ref="M13:M22" si="0">(G13-J13)/J13*100</f>
        <v>76.916524701873954</v>
      </c>
      <c r="N13" s="114" t="str">
        <f>'Data 3 Table'!AG85</f>
        <v>Census 2021 (update 2026)</v>
      </c>
      <c r="O13" s="114"/>
      <c r="P13" s="114"/>
      <c r="Q13" s="5"/>
    </row>
    <row r="14" spans="1:17" ht="22.95" customHeight="1">
      <c r="A14" s="10">
        <v>32</v>
      </c>
      <c r="B14" s="119" t="str">
        <f>'Data 3 Table'!AH3</f>
        <v>Per cent of prep. pupils developmentally vulnerable in 1 or more domains, 2021</v>
      </c>
      <c r="C14" s="119"/>
      <c r="D14" s="119"/>
      <c r="E14" s="119"/>
      <c r="F14" s="119"/>
      <c r="G14" s="121">
        <f>VLOOKUP($H$11,'Data 3 Table'!$A$4:$FZ$84,2+$A14)</f>
        <v>28.2</v>
      </c>
      <c r="H14" s="121"/>
      <c r="I14" s="11"/>
      <c r="J14" s="128">
        <f>VLOOKUP($J$11,'Data 3 Table'!$A$4:$FZ$84,2+$A14)</f>
        <v>17.716129032258063</v>
      </c>
      <c r="K14" s="128"/>
      <c r="M14" s="82">
        <f t="shared" si="0"/>
        <v>59.17698470502549</v>
      </c>
      <c r="N14" s="113" t="str">
        <f>'Data 3 Table'!AH85</f>
        <v>Census 2021 (update 2026)</v>
      </c>
      <c r="O14" s="114"/>
      <c r="P14" s="114"/>
      <c r="Q14" s="5"/>
    </row>
    <row r="15" spans="1:17" ht="22.95" customHeight="1">
      <c r="A15" s="10">
        <v>33</v>
      </c>
      <c r="B15" s="120" t="str">
        <f>'Data 3 Table'!AI3</f>
        <v>Per cent of year 9 pupils that did not meet national literacy benchmarks: 2019</v>
      </c>
      <c r="C15" s="120"/>
      <c r="D15" s="120"/>
      <c r="E15" s="120"/>
      <c r="F15" s="120"/>
      <c r="G15" s="126">
        <f>VLOOKUP($H$11,'Data 3 Table'!$A$4:$FZ$84,2+$A15)</f>
        <v>13.798977853492332</v>
      </c>
      <c r="H15" s="126"/>
      <c r="I15" s="11"/>
      <c r="J15" s="126">
        <f>VLOOKUP($J$11,'Data 3 Table'!$A$4:$FZ$84,2+$A15)</f>
        <v>7.405966794137564</v>
      </c>
      <c r="K15" s="126"/>
      <c r="M15" s="81">
        <f t="shared" si="0"/>
        <v>86.322437529903127</v>
      </c>
      <c r="N15" s="113" t="str">
        <f>'Data 3 Table'!AI85</f>
        <v>Victorian Dept. Education and Training, 2022 (update undetermined)</v>
      </c>
      <c r="O15" s="114"/>
      <c r="P15" s="114"/>
      <c r="Q15" s="5"/>
    </row>
    <row r="16" spans="1:17" ht="22.95" customHeight="1">
      <c r="A16" s="10">
        <v>34</v>
      </c>
      <c r="B16" s="119" t="str">
        <f>'Data 3 Table'!AJ3</f>
        <v>Per cent of year 9 pupils that did not meet national numeracy benchmarks: 2019</v>
      </c>
      <c r="C16" s="119"/>
      <c r="D16" s="119"/>
      <c r="E16" s="119"/>
      <c r="F16" s="119"/>
      <c r="G16" s="121">
        <f>VLOOKUP($H$11,'Data 3 Table'!$A$4:$FZ$84,2+$A16)</f>
        <v>8.011363636363626</v>
      </c>
      <c r="H16" s="121"/>
      <c r="I16" s="11"/>
      <c r="J16" s="128">
        <f>VLOOKUP($J$11,'Data 3 Table'!$A$4:$FZ$84,2+$A16)</f>
        <v>3.5578380851827189</v>
      </c>
      <c r="K16" s="128"/>
      <c r="M16" s="82">
        <f t="shared" si="0"/>
        <v>125.17504857032269</v>
      </c>
      <c r="N16" s="113" t="str">
        <f>'Data 3 Table'!AJ85</f>
        <v>Victorian Dept. Education and Training, 2022 (update undetermined)</v>
      </c>
      <c r="O16" s="114"/>
      <c r="P16" s="114"/>
    </row>
    <row r="17" spans="1:17" ht="22.95" customHeight="1">
      <c r="A17" s="10">
        <v>35</v>
      </c>
      <c r="B17" s="120" t="str">
        <f>'Data 3 Table'!AK3</f>
        <v>Per cent of  20-24 year olds who left school before completing year 11, 2021</v>
      </c>
      <c r="C17" s="120"/>
      <c r="D17" s="120"/>
      <c r="E17" s="120"/>
      <c r="F17" s="120"/>
      <c r="G17" s="126">
        <f>VLOOKUP($H$11,'Data 3 Table'!$A$4:$FZ$84,2+$A17)</f>
        <v>8.1360390830514842</v>
      </c>
      <c r="H17" s="126"/>
      <c r="I17" s="11"/>
      <c r="J17" s="126">
        <f>VLOOKUP($J$11,'Data 3 Table'!$A$4:$FZ$84,2+$A17)</f>
        <v>6.3273493484426542</v>
      </c>
      <c r="K17" s="126"/>
      <c r="M17" s="81">
        <f t="shared" si="0"/>
        <v>28.5852674636023</v>
      </c>
      <c r="N17" s="113" t="str">
        <f>'Data 3 Table'!AK85</f>
        <v>Census 2021 (update 2026)</v>
      </c>
      <c r="O17" s="114"/>
      <c r="P17" s="114"/>
      <c r="Q17" s="5"/>
    </row>
    <row r="18" spans="1:17" ht="22.95" customHeight="1">
      <c r="A18" s="10">
        <v>36</v>
      </c>
      <c r="B18" s="130" t="str">
        <f>'Data 3 Table'!AL3</f>
        <v>Per cent of persons 15+ who had left school before finishing yr. 11, 2021</v>
      </c>
      <c r="C18" s="119"/>
      <c r="D18" s="119"/>
      <c r="E18" s="119"/>
      <c r="F18" s="119"/>
      <c r="G18" s="121">
        <f>VLOOKUP($H$11,'Data 3 Table'!$A$4:$FZ$84,2+$A18)</f>
        <v>30.634307867581366</v>
      </c>
      <c r="H18" s="121"/>
      <c r="I18" s="11"/>
      <c r="J18" s="128">
        <f>VLOOKUP($J$11,'Data 3 Table'!$A$4:$FZ$84,2+$A18)</f>
        <v>21.084410893318612</v>
      </c>
      <c r="K18" s="128"/>
      <c r="M18" s="82">
        <f t="shared" si="0"/>
        <v>45.293639089954361</v>
      </c>
      <c r="N18" s="113" t="str">
        <f>'Data 3 Table'!AL85</f>
        <v>Census 2021 (update 2026)</v>
      </c>
      <c r="O18" s="114"/>
      <c r="P18" s="114"/>
    </row>
    <row r="19" spans="1:17" ht="22.95" customHeight="1">
      <c r="A19" s="10">
        <v>37</v>
      </c>
      <c r="B19" s="120" t="str">
        <f>'Data 3 Table'!AM3</f>
        <v>Per cent 20-24 year olds not in paid employment or enrolled in formal education, 2021</v>
      </c>
      <c r="C19" s="120"/>
      <c r="D19" s="120"/>
      <c r="E19" s="120"/>
      <c r="F19" s="120"/>
      <c r="G19" s="126">
        <f>VLOOKUP($H$11,'Data 3 Table'!$A$4:$FZ$84,2+$A19)</f>
        <v>13.187019320952917</v>
      </c>
      <c r="H19" s="126"/>
      <c r="I19" s="11"/>
      <c r="J19" s="126">
        <f>VLOOKUP($J$11,'Data 3 Table'!$A$4:$FZ$84,2+$A19)</f>
        <v>9.4889317053000841</v>
      </c>
      <c r="K19" s="126"/>
      <c r="M19" s="81">
        <f t="shared" si="0"/>
        <v>38.972644450452201</v>
      </c>
      <c r="N19" s="113" t="str">
        <f>'Data 3 Table'!AM85</f>
        <v>Census 2021 (update 2026)</v>
      </c>
      <c r="O19" s="114"/>
      <c r="P19" s="114"/>
    </row>
    <row r="20" spans="1:17" ht="22.95" customHeight="1">
      <c r="A20" s="10">
        <v>38</v>
      </c>
      <c r="B20" s="130" t="str">
        <f>'Data 3 Table'!AN3</f>
        <v>Per cent of 20-24 year-olds in tertiary education, 2021</v>
      </c>
      <c r="C20" s="130"/>
      <c r="D20" s="130"/>
      <c r="E20" s="130"/>
      <c r="F20" s="130"/>
      <c r="G20" s="121">
        <f>VLOOKUP($H$11,'Data 3 Table'!$A$4:$FZ$84,2+$A20)</f>
        <v>47.088418894996735</v>
      </c>
      <c r="H20" s="121"/>
      <c r="I20" s="11"/>
      <c r="J20" s="128">
        <f>VLOOKUP($J$11,'Data 3 Table'!$A$4:$FZ$84,2+$A20)</f>
        <v>39.926821054420017</v>
      </c>
      <c r="K20" s="128"/>
      <c r="M20" s="82">
        <f t="shared" si="0"/>
        <v>17.936809521638359</v>
      </c>
      <c r="N20" s="113" t="str">
        <f>'Data 3 Table'!AN85</f>
        <v>Census 2021 (update 2026)</v>
      </c>
      <c r="O20" s="114"/>
      <c r="P20" s="114"/>
    </row>
    <row r="21" spans="1:17" ht="22.95" customHeight="1">
      <c r="A21" s="10">
        <v>39</v>
      </c>
      <c r="B21" s="120" t="str">
        <f>'Data 3 Table'!AO3</f>
        <v>Per cent of 25-44 year-olds who hold a degree, 2021</v>
      </c>
      <c r="C21" s="120"/>
      <c r="D21" s="120"/>
      <c r="E21" s="120"/>
      <c r="F21" s="120"/>
      <c r="G21" s="126">
        <f>VLOOKUP($H$11,'Data 3 Table'!$A$4:$FZ$84,2+$A21)</f>
        <v>36.871160372900285</v>
      </c>
      <c r="H21" s="126"/>
      <c r="I21" s="11"/>
      <c r="J21" s="126">
        <f>VLOOKUP($J$11,'Data 3 Table'!$A$4:$FZ$84,2+$A21)</f>
        <v>49.481801722251561</v>
      </c>
      <c r="K21" s="126"/>
      <c r="M21" s="81">
        <f t="shared" si="0"/>
        <v>-25.485412637431054</v>
      </c>
      <c r="N21" s="143" t="str">
        <f>'Data 3 Table'!AO85</f>
        <v>Census 2021 (update 2026)</v>
      </c>
      <c r="O21" s="115"/>
      <c r="P21" s="115"/>
    </row>
    <row r="22" spans="1:17" ht="22.95" customHeight="1">
      <c r="A22" s="10">
        <v>40</v>
      </c>
      <c r="B22" s="116">
        <f>'Data 3 Table'!AP3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43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IF(Employment!$K$11=1,CONCATENATE(G12,":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IF(Employment!K11=2,"A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41</v>
      </c>
      <c r="B13" s="120" t="str">
        <f>'Data 3 Table'!AQ3</f>
        <v>Per cent 20-24 year olds not in paid employment or enrolled in formal education, 2021</v>
      </c>
      <c r="C13" s="120"/>
      <c r="D13" s="120"/>
      <c r="E13" s="120"/>
      <c r="F13" s="120"/>
      <c r="G13" s="126">
        <f>VLOOKUP($H$11,'Data 3 Table'!$A$4:$FZ$84,2+$A13)</f>
        <v>13.187019320952917</v>
      </c>
      <c r="H13" s="126"/>
      <c r="I13" s="11"/>
      <c r="J13" s="126">
        <f>VLOOKUP($J$11,'Data 3 Table'!$A$4:$FZ$84,2+$A13)</f>
        <v>9.4889317053000841</v>
      </c>
      <c r="K13" s="126"/>
      <c r="M13" s="81">
        <f t="shared" ref="M13:M22" si="0">(G13-J13)/J13*100</f>
        <v>38.972644450452201</v>
      </c>
      <c r="N13" s="114" t="str">
        <f>'Data 3 Table'!AQ85</f>
        <v>Census 2021 (update 2026)</v>
      </c>
      <c r="O13" s="114"/>
      <c r="P13" s="114"/>
      <c r="Q13" s="5"/>
    </row>
    <row r="14" spans="1:17" ht="22.95" customHeight="1">
      <c r="A14" s="10">
        <v>42</v>
      </c>
      <c r="B14" s="119" t="str">
        <f>'Data 3 Table'!AR3</f>
        <v>Unemployment rate, persons 15+, June 2024</v>
      </c>
      <c r="C14" s="119"/>
      <c r="D14" s="119"/>
      <c r="E14" s="119"/>
      <c r="F14" s="119"/>
      <c r="G14" s="121">
        <f>VLOOKUP($H$11,'Data 3 Table'!$A$4:$FZ$84,2+$A14)</f>
        <v>6.4</v>
      </c>
      <c r="H14" s="121"/>
      <c r="I14" s="11"/>
      <c r="J14" s="128">
        <f>VLOOKUP($J$11,'Data 3 Table'!$A$4:$FZ$84,2+$A14)</f>
        <v>4.2</v>
      </c>
      <c r="K14" s="128"/>
      <c r="M14" s="82">
        <f t="shared" si="0"/>
        <v>52.380952380952387</v>
      </c>
      <c r="N14" s="113" t="str">
        <f>'Data 3 Table'!AR85</f>
        <v>Federal Dept.. Employment and Workplace Relations, 2024 (update 2025)</v>
      </c>
      <c r="O14" s="114"/>
      <c r="P14" s="114"/>
      <c r="Q14" s="5"/>
    </row>
    <row r="15" spans="1:17" ht="22.95" customHeight="1">
      <c r="A15" s="10">
        <v>43</v>
      </c>
      <c r="B15" s="120" t="str">
        <f>'Data 3 Table'!AS3</f>
        <v>Managers and professionals as a percentage of employed residents, 2021</v>
      </c>
      <c r="C15" s="120"/>
      <c r="D15" s="120"/>
      <c r="E15" s="120"/>
      <c r="F15" s="120"/>
      <c r="G15" s="126">
        <f>VLOOKUP($H$11,'Data 3 Table'!$A$4:$FZ$84,2+$A15)</f>
        <v>24.532173965918247</v>
      </c>
      <c r="H15" s="126"/>
      <c r="I15" s="11"/>
      <c r="J15" s="126">
        <f>VLOOKUP($J$11,'Data 3 Table'!$A$4:$FZ$84,2+$A15)</f>
        <v>43.220340495897851</v>
      </c>
      <c r="K15" s="126"/>
      <c r="M15" s="81">
        <f t="shared" si="0"/>
        <v>-43.239285751932805</v>
      </c>
      <c r="N15" s="113" t="str">
        <f>'Data 3 Table'!AS85</f>
        <v>Census 2021 (update 2026)</v>
      </c>
      <c r="O15" s="114"/>
      <c r="P15" s="114"/>
      <c r="Q15" s="5"/>
    </row>
    <row r="16" spans="1:17" ht="22.95" customHeight="1">
      <c r="A16" s="10">
        <v>44</v>
      </c>
      <c r="B16" s="119" t="str">
        <f>'Data 3 Table'!AT3</f>
        <v>Salespersons, machinery operators and labourers as a percentage of employed residents, 2021</v>
      </c>
      <c r="C16" s="119"/>
      <c r="D16" s="119"/>
      <c r="E16" s="119"/>
      <c r="F16" s="119"/>
      <c r="G16" s="121">
        <f>VLOOKUP($H$11,'Data 3 Table'!$A$4:$FZ$84,2+$A16)</f>
        <v>37.861982133221417</v>
      </c>
      <c r="H16" s="121"/>
      <c r="I16" s="11"/>
      <c r="J16" s="128">
        <f>VLOOKUP($J$11,'Data 3 Table'!$A$4:$FZ$84,2+$A16)</f>
        <v>22.135290971195602</v>
      </c>
      <c r="K16" s="128"/>
      <c r="M16" s="82">
        <f t="shared" si="0"/>
        <v>71.048043517886342</v>
      </c>
      <c r="N16" s="113" t="str">
        <f>'Data 3 Table'!AT85</f>
        <v>Census 2021 (update 2026)</v>
      </c>
      <c r="O16" s="114"/>
      <c r="P16" s="114"/>
    </row>
    <row r="17" spans="1:17" ht="22.95" customHeight="1">
      <c r="A17" s="10">
        <v>45</v>
      </c>
      <c r="B17" s="120" t="str">
        <f>'Data 3 Table'!AU3</f>
        <v>Per cent of two-parent families with no parent in paid work, 2021</v>
      </c>
      <c r="C17" s="120"/>
      <c r="D17" s="120"/>
      <c r="E17" s="120"/>
      <c r="F17" s="120"/>
      <c r="G17" s="126">
        <f>VLOOKUP($H$11,'Data 3 Table'!$A$4:$FZ$84,2+$A17)</f>
        <v>17.121865516690622</v>
      </c>
      <c r="H17" s="126"/>
      <c r="I17" s="11"/>
      <c r="J17" s="126">
        <f>VLOOKUP($J$11,'Data 3 Table'!$A$4:$FZ$84,2+$A17)</f>
        <v>8.4970204700647898</v>
      </c>
      <c r="K17" s="126"/>
      <c r="M17" s="81">
        <f t="shared" si="0"/>
        <v>101.50434587054806</v>
      </c>
      <c r="N17" s="113" t="str">
        <f>'Data 3 Table'!AU85</f>
        <v>Census 2021 (update 2026)</v>
      </c>
      <c r="O17" s="114"/>
      <c r="P17" s="114"/>
      <c r="Q17" s="5"/>
    </row>
    <row r="18" spans="1:17" ht="22.95" customHeight="1">
      <c r="A18" s="10">
        <v>46</v>
      </c>
      <c r="B18" s="116">
        <f>'Data 3 Table'!AV3</f>
        <v>0</v>
      </c>
      <c r="C18" s="117"/>
      <c r="D18" s="117"/>
      <c r="E18" s="117"/>
      <c r="F18" s="117"/>
      <c r="G18" s="118">
        <f>VLOOKUP($H$11,'Data 3 Table'!$A$4:$FZ$84,2+$A18)</f>
        <v>0</v>
      </c>
      <c r="H18" s="118"/>
      <c r="I18" s="80"/>
      <c r="J18" s="118">
        <f>VLOOKUP($J$11,'Data 3 Table'!$A$4:$FZ$84,2+$A18)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47</v>
      </c>
      <c r="B19" s="117">
        <f>'Data 3 Table'!AW3</f>
        <v>0</v>
      </c>
      <c r="C19" s="117"/>
      <c r="D19" s="117"/>
      <c r="E19" s="117"/>
      <c r="F19" s="117"/>
      <c r="G19" s="118">
        <f>VLOOKUP($H$11,'Data 3 Table'!$A$4:$FZ$84,2+$A19)</f>
        <v>0</v>
      </c>
      <c r="H19" s="118"/>
      <c r="I19" s="80"/>
      <c r="J19" s="118">
        <f>VLOOKUP($J$11,'Data 3 Table'!$A$4:$FZ$84,2+$A19)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48</v>
      </c>
      <c r="B20" s="116">
        <f>'Data 3 Table'!AX3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49</v>
      </c>
      <c r="B21" s="117">
        <f>'Data 3 Table'!AY3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5"/>
      <c r="O21" s="115"/>
      <c r="P21" s="115"/>
    </row>
    <row r="22" spans="1:17" ht="22.95" customHeight="1">
      <c r="A22" s="10">
        <v>50</v>
      </c>
      <c r="B22" s="116">
        <f>'Data 3 Table'!AZ3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IF(Finance!$K$11=1,CONCATENATE(G12,":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IF(Finance!K11=2,"A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51</v>
      </c>
      <c r="B13" s="120" t="str">
        <f>'Data 3 Table'!BA3</f>
        <v>Median weekly gross individual income, persons 15+, 2021</v>
      </c>
      <c r="C13" s="120"/>
      <c r="D13" s="120"/>
      <c r="E13" s="120"/>
      <c r="F13" s="120"/>
      <c r="G13" s="144">
        <f>VLOOKUP($H$11,'Data 3 Table'!$A$4:$FZ$84,2+$A13)</f>
        <v>618.54838709677415</v>
      </c>
      <c r="H13" s="144"/>
      <c r="I13" s="11"/>
      <c r="J13" s="144">
        <f>VLOOKUP($J$11,'Data 3 Table'!$A$4:$FZ$84,2+$A13)</f>
        <v>841.00932862453988</v>
      </c>
      <c r="K13" s="144"/>
      <c r="M13" s="81">
        <f t="shared" ref="M13:M22" si="0">(G13-J13)/J13*100</f>
        <v>-26.451661587582837</v>
      </c>
      <c r="N13" s="114" t="str">
        <f>'Data 3 Table'!BA85</f>
        <v>Census 2021 (update 2026)</v>
      </c>
      <c r="O13" s="114"/>
      <c r="P13" s="114"/>
      <c r="Q13" s="5"/>
    </row>
    <row r="14" spans="1:17" ht="22.95" customHeight="1">
      <c r="A14" s="10">
        <v>52</v>
      </c>
      <c r="B14" s="119" t="str">
        <f>'Data 3 Table'!BB3</f>
        <v>Female median individual weekly gross income, persons 15+, 2021</v>
      </c>
      <c r="C14" s="119"/>
      <c r="D14" s="119"/>
      <c r="E14" s="119"/>
      <c r="F14" s="119"/>
      <c r="G14" s="132">
        <f>VLOOKUP($H$11,'Data 3 Table'!$A$4:$FZ$84,2+$A14)</f>
        <v>481.97465072735127</v>
      </c>
      <c r="H14" s="132"/>
      <c r="I14" s="11"/>
      <c r="J14" s="133">
        <f>VLOOKUP($J$11,'Data 3 Table'!$A$4:$FZ$84,2+$A14)</f>
        <v>684.39828816541149</v>
      </c>
      <c r="K14" s="133"/>
      <c r="M14" s="82">
        <f t="shared" si="0"/>
        <v>-29.576876643083693</v>
      </c>
      <c r="N14" s="113" t="str">
        <f>'Data 3 Table'!BB85</f>
        <v>Census 2021 (update 2026)</v>
      </c>
      <c r="O14" s="114"/>
      <c r="P14" s="114"/>
      <c r="Q14" s="5"/>
    </row>
    <row r="15" spans="1:17" ht="22.95" customHeight="1">
      <c r="A15" s="10">
        <v>53</v>
      </c>
      <c r="B15" s="120" t="str">
        <f>'Data 3 Table'!BC3</f>
        <v>Male median individual weekly gross income, persons 15+, 2021</v>
      </c>
      <c r="C15" s="120"/>
      <c r="D15" s="120"/>
      <c r="E15" s="120"/>
      <c r="F15" s="120"/>
      <c r="G15" s="144">
        <f>VLOOKUP($H$11,'Data 3 Table'!$A$4:$FZ$84,2+$A15)</f>
        <v>789.8925487045592</v>
      </c>
      <c r="H15" s="144"/>
      <c r="I15" s="11"/>
      <c r="J15" s="144">
        <f>VLOOKUP($J$11,'Data 3 Table'!$A$4:$FZ$84,2+$A15)</f>
        <v>1034.5324089594769</v>
      </c>
      <c r="K15" s="144"/>
      <c r="M15" s="81">
        <f t="shared" si="0"/>
        <v>-23.647384860661276</v>
      </c>
      <c r="N15" s="113" t="str">
        <f>'Data 3 Table'!BC85</f>
        <v>Census 2021 (update 2026)</v>
      </c>
      <c r="O15" s="114"/>
      <c r="P15" s="114"/>
      <c r="Q15" s="5"/>
    </row>
    <row r="16" spans="1:17" ht="22.95" customHeight="1">
      <c r="A16" s="10">
        <v>54</v>
      </c>
      <c r="B16" s="119" t="str">
        <f>'Data 3 Table'!BD3</f>
        <v>Average electronic gambling machine losses per adult, 2023/24</v>
      </c>
      <c r="C16" s="119"/>
      <c r="D16" s="119"/>
      <c r="E16" s="119"/>
      <c r="F16" s="119"/>
      <c r="G16" s="132">
        <f>VLOOKUP($H$11,'Data 3 Table'!$A$4:$FZ$84,2+$A16)</f>
        <v>1089.4819760455937</v>
      </c>
      <c r="H16" s="132"/>
      <c r="I16" s="11"/>
      <c r="J16" s="133">
        <f>VLOOKUP($J$11,'Data 3 Table'!$A$4:$FZ$84,2+$A16)</f>
        <v>596</v>
      </c>
      <c r="K16" s="133"/>
      <c r="M16" s="82">
        <f t="shared" si="0"/>
        <v>82.798989269394923</v>
      </c>
      <c r="N16" s="113" t="str">
        <f>'Data 3 Table'!BD85</f>
        <v>Victorian Gambling and Casino Control Commission, 2024 (update 2025)</v>
      </c>
      <c r="O16" s="114"/>
      <c r="P16" s="114"/>
    </row>
    <row r="17" spans="1:17" ht="22.95" customHeight="1">
      <c r="A17" s="10">
        <v>55</v>
      </c>
      <c r="B17" s="120" t="str">
        <f>'Data 3 Table'!BE3</f>
        <v>SEIFA Index of Relative Socio-economic Disadvantage, 2021</v>
      </c>
      <c r="C17" s="120"/>
      <c r="D17" s="120"/>
      <c r="E17" s="120"/>
      <c r="F17" s="120"/>
      <c r="G17" s="127">
        <f>VLOOKUP($H$11,'Data 3 Table'!$A$4:$FZ$84,2+$A17)</f>
        <v>887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-12.782694198623402</v>
      </c>
      <c r="N17" s="113" t="str">
        <f>'Data 3 Table'!BE85</f>
        <v>Census 2021 (update 2026)</v>
      </c>
      <c r="O17" s="114"/>
      <c r="P17" s="114"/>
      <c r="Q17" s="5"/>
    </row>
    <row r="18" spans="1:17" ht="22.95" customHeight="1">
      <c r="A18" s="10">
        <v>56</v>
      </c>
      <c r="B18" s="130" t="str">
        <f>'Data 3 Table'!BF3</f>
        <v>Per cent of weekly individual incomes below $250 persons aged 35-44, 2021</v>
      </c>
      <c r="C18" s="119"/>
      <c r="D18" s="119"/>
      <c r="E18" s="119"/>
      <c r="F18" s="119"/>
      <c r="G18" s="141">
        <f>VLOOKUP($H$11,'Data 3 Table'!$A$4:$FZ$84,2+$A18)</f>
        <v>15.880327563744649</v>
      </c>
      <c r="H18" s="141"/>
      <c r="I18" s="11"/>
      <c r="J18" s="142">
        <f>VLOOKUP($J$11,'Data 3 Table'!$A$4:$FZ$84,2+$A18)</f>
        <v>15</v>
      </c>
      <c r="K18" s="142"/>
      <c r="M18" s="82">
        <f t="shared" si="0"/>
        <v>5.8688504249643243</v>
      </c>
      <c r="N18" s="113" t="str">
        <f>'Data 3 Table'!BF85</f>
        <v>Census 2021 (update 2026)</v>
      </c>
      <c r="O18" s="114"/>
      <c r="P18" s="114"/>
    </row>
    <row r="19" spans="1:17" ht="22.95" customHeight="1">
      <c r="A19" s="10">
        <v>57</v>
      </c>
      <c r="B19" s="120" t="str">
        <f>'Data 3 Table'!BG3</f>
        <v>Health Care Card Holders as a percentage of the population, June 2024</v>
      </c>
      <c r="C19" s="120"/>
      <c r="D19" s="120"/>
      <c r="E19" s="120"/>
      <c r="F19" s="120"/>
      <c r="G19" s="126">
        <f>VLOOKUP($H$11,'Data 3 Table'!$A$4:$FZ$84,2+$A19)</f>
        <v>7.2712346765432034</v>
      </c>
      <c r="H19" s="126"/>
      <c r="I19" s="11"/>
      <c r="J19" s="126">
        <f>VLOOKUP($J$11,'Data 3 Table'!$A$4:$FZ$84,2+$A19)</f>
        <v>5.086704006070109</v>
      </c>
      <c r="K19" s="126"/>
      <c r="M19" s="81">
        <f t="shared" si="0"/>
        <v>42.945897144127741</v>
      </c>
      <c r="N19" s="113" t="str">
        <f>'Data 3 Table'!BG85</f>
        <v>Centrelink, 2024 (update 2025)</v>
      </c>
      <c r="O19" s="114"/>
      <c r="P19" s="114"/>
    </row>
    <row r="20" spans="1:17" ht="22.95" customHeight="1">
      <c r="A20" s="10">
        <v>58</v>
      </c>
      <c r="B20" s="116">
        <f>'Data 3 Table'!BH3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59</v>
      </c>
      <c r="B21" s="117">
        <f>'Data 3 Table'!BI3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60</v>
      </c>
      <c r="B22" s="116">
        <f>'Data 3 Table'!BJ3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249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IF(Housing!$K$11=1,CONCATENATE(G12,":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IF(Housing!K11=2,"A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61</v>
      </c>
      <c r="B13" s="120" t="str">
        <f>'Data 3 Table'!BK3</f>
        <v>Per cent of dwellings owned being purchased by their occupants, 2021</v>
      </c>
      <c r="C13" s="120"/>
      <c r="D13" s="120"/>
      <c r="E13" s="120"/>
      <c r="F13" s="120"/>
      <c r="G13" s="126">
        <f>VLOOKUP($H$11,'Data 3 Table'!$A$4:$FZ$84,2+$A13)</f>
        <v>62.528154265618213</v>
      </c>
      <c r="H13" s="126"/>
      <c r="I13" s="11"/>
      <c r="J13" s="126">
        <f>VLOOKUP($J$11,'Data 3 Table'!$A$4:$FZ$84,2+$A13)</f>
        <v>67.72109282998936</v>
      </c>
      <c r="K13" s="126"/>
      <c r="M13" s="81">
        <f t="shared" ref="M13:M22" si="0">(G13-J13)/J13*100</f>
        <v>-7.6681257601789978</v>
      </c>
      <c r="N13" s="114" t="str">
        <f>'Data 3 Table'!BK85</f>
        <v>Census 2021 (update 2026)</v>
      </c>
      <c r="O13" s="114"/>
      <c r="P13" s="114"/>
      <c r="Q13" s="5"/>
    </row>
    <row r="14" spans="1:17" ht="22.95" customHeight="1">
      <c r="A14" s="10">
        <v>62</v>
      </c>
      <c r="B14" s="119" t="str">
        <f>'Data 3 Table'!BL3</f>
        <v>Per cent of dwellings rented from the government, co-ops. or the church, 2021</v>
      </c>
      <c r="C14" s="119"/>
      <c r="D14" s="119"/>
      <c r="E14" s="119"/>
      <c r="F14" s="119"/>
      <c r="G14" s="121">
        <f>VLOOKUP($H$11,'Data 3 Table'!$A$4:$FZ$84,2+$A14)</f>
        <v>3.8823250484055793</v>
      </c>
      <c r="H14" s="121"/>
      <c r="I14" s="11"/>
      <c r="J14" s="128">
        <f>VLOOKUP($J$11,'Data 3 Table'!$A$4:$FZ$84,2+$A14)</f>
        <v>2.3748066954932519</v>
      </c>
      <c r="K14" s="128"/>
      <c r="M14" s="82">
        <f t="shared" si="0"/>
        <v>63.479623658346348</v>
      </c>
      <c r="N14" s="113" t="str">
        <f>'Data 3 Table'!BL85</f>
        <v>Census 2021 (update 2026)</v>
      </c>
      <c r="O14" s="114"/>
      <c r="P14" s="114"/>
      <c r="Q14" s="5"/>
    </row>
    <row r="15" spans="1:17" ht="22.95" customHeight="1">
      <c r="A15" s="10">
        <v>63</v>
      </c>
      <c r="B15" s="120" t="str">
        <f>'Data 3 Table'!BM3</f>
        <v>Per cent of dwellings for rent, which are affordable to Centrelink recipients, June, 2024</v>
      </c>
      <c r="C15" s="120"/>
      <c r="D15" s="120"/>
      <c r="E15" s="120"/>
      <c r="F15" s="120"/>
      <c r="G15" s="126">
        <f>VLOOKUP($H$11,'Data 3 Table'!$A$4:$FZ$84,2+$A15)</f>
        <v>4.1000000000000005</v>
      </c>
      <c r="H15" s="126"/>
      <c r="I15" s="11"/>
      <c r="J15" s="126">
        <f>VLOOKUP($J$11,'Data 3 Table'!$A$4:$FZ$84,2+$A15)</f>
        <v>6.3</v>
      </c>
      <c r="K15" s="126"/>
      <c r="M15" s="81">
        <f t="shared" si="0"/>
        <v>-34.92063492063491</v>
      </c>
      <c r="N15" s="113" t="str">
        <f>'Data 3 Table'!BM85</f>
        <v>Dept. Human Services, 2024 (update 2025)</v>
      </c>
      <c r="O15" s="114"/>
      <c r="P15" s="114"/>
      <c r="Q15" s="5"/>
    </row>
    <row r="16" spans="1:17" ht="22.95" customHeight="1">
      <c r="A16" s="10">
        <v>64</v>
      </c>
      <c r="B16" s="119" t="str">
        <f>'Data 3 Table'!BN3</f>
        <v>Number of year's household income required to purchase an average house, 2021</v>
      </c>
      <c r="C16" s="119"/>
      <c r="D16" s="119"/>
      <c r="E16" s="119"/>
      <c r="F16" s="119"/>
      <c r="G16" s="121">
        <f>VLOOKUP($H$11,'Data 3 Table'!$A$4:$FZ$84,2+$A16)</f>
        <v>10.323468685478321</v>
      </c>
      <c r="H16" s="121"/>
      <c r="I16" s="11"/>
      <c r="J16" s="128">
        <f>VLOOKUP($J$11,'Data 3 Table'!$A$4:$FZ$84,2+$A16)</f>
        <v>8.8516165580868371</v>
      </c>
      <c r="K16" s="128"/>
      <c r="M16" s="82">
        <f t="shared" si="0"/>
        <v>16.628060171074626</v>
      </c>
      <c r="N16" s="113" t="str">
        <f>'Data 3 Table'!BN85</f>
        <v>Census 2021 (update 2026) &amp; Victorian Dept. Transport and Planning 2022</v>
      </c>
      <c r="O16" s="114"/>
      <c r="P16" s="114"/>
    </row>
    <row r="17" spans="1:17" ht="22.95" customHeight="1">
      <c r="A17" s="10">
        <v>65</v>
      </c>
      <c r="B17" s="120" t="str">
        <f>'Data 3 Table'!BO3</f>
        <v>Per cent of renting households, living in acute financial hardship, 2021</v>
      </c>
      <c r="C17" s="120"/>
      <c r="D17" s="120"/>
      <c r="E17" s="120"/>
      <c r="F17" s="120"/>
      <c r="G17" s="126">
        <f>VLOOKUP($H$11,'Data 3 Table'!$A$4:$FZ$84,2+$A17)</f>
        <v>21.121839781538331</v>
      </c>
      <c r="H17" s="126"/>
      <c r="I17" s="11"/>
      <c r="J17" s="126">
        <f>VLOOKUP($J$11,'Data 3 Table'!$A$4:$FZ$84,2+$A17)</f>
        <v>13.7</v>
      </c>
      <c r="K17" s="126"/>
      <c r="M17" s="81">
        <f t="shared" si="0"/>
        <v>54.174013003929431</v>
      </c>
      <c r="N17" s="113" t="str">
        <f>'Data 3 Table'!BO85</f>
        <v>Census 2021 (update 2026)</v>
      </c>
      <c r="O17" s="114"/>
      <c r="P17" s="114"/>
      <c r="Q17" s="5"/>
    </row>
    <row r="18" spans="1:17" ht="22.95" customHeight="1">
      <c r="A18" s="10">
        <v>66</v>
      </c>
      <c r="B18" s="130" t="str">
        <f>'Data 3 Table'!BP3</f>
        <v>Per cent of private dwellings that are overcrowded, 2021</v>
      </c>
      <c r="C18" s="119"/>
      <c r="D18" s="119"/>
      <c r="E18" s="119"/>
      <c r="F18" s="119"/>
      <c r="G18" s="121">
        <f>VLOOKUP($H$11,'Data 3 Table'!$A$4:$FZ$84,2+$A18)</f>
        <v>1.2715122124312497</v>
      </c>
      <c r="H18" s="121"/>
      <c r="I18" s="11"/>
      <c r="J18" s="128">
        <f>VLOOKUP($J$11,'Data 3 Table'!$A$4:$FZ$84,2+$A18)</f>
        <v>0.27050925647492075</v>
      </c>
      <c r="K18" s="128"/>
      <c r="M18" s="82">
        <f t="shared" si="0"/>
        <v>370.04388278636713</v>
      </c>
      <c r="N18" s="113" t="str">
        <f>'Data 3 Table'!BP85</f>
        <v>Census 2021 (update 2026)</v>
      </c>
      <c r="O18" s="114"/>
      <c r="P18" s="114"/>
    </row>
    <row r="19" spans="1:17" ht="22.95" customHeight="1">
      <c r="A19" s="10">
        <v>67</v>
      </c>
      <c r="B19" s="120" t="str">
        <f>'Data 3 Table'!BQ3</f>
        <v>Number of homeless persons per 1,000 population, 2021</v>
      </c>
      <c r="C19" s="120"/>
      <c r="D19" s="120"/>
      <c r="E19" s="120"/>
      <c r="F19" s="120"/>
      <c r="G19" s="126">
        <f>VLOOKUP($H$11,'Data 3 Table'!$A$4:$FZ$84,2+$A19)</f>
        <v>14.955090482722003</v>
      </c>
      <c r="H19" s="126"/>
      <c r="I19" s="11"/>
      <c r="J19" s="126">
        <f>VLOOKUP($J$11,'Data 3 Table'!$A$4:$FZ$84,2+$A19)</f>
        <v>4.8990498212785143</v>
      </c>
      <c r="K19" s="126"/>
      <c r="M19" s="81">
        <f t="shared" si="0"/>
        <v>205.26512340752529</v>
      </c>
      <c r="N19" s="113" t="str">
        <f>'Data 3 Table'!BQ85</f>
        <v>Census 2021 (update 2026)</v>
      </c>
      <c r="O19" s="114"/>
      <c r="P19" s="114"/>
    </row>
    <row r="20" spans="1:17" ht="22.95" customHeight="1">
      <c r="A20" s="10">
        <v>68</v>
      </c>
      <c r="B20" s="116">
        <f>'Data 3 Table'!BR3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69</v>
      </c>
      <c r="B21" s="117">
        <f>'Data 3 Table'!BS3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70</v>
      </c>
      <c r="B22" s="116">
        <f>'Data 3 Table'!BT3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IF(Health!$K$11=1,CONCATENATE(G12,":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IF(Health!K11=2,"A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71</v>
      </c>
      <c r="B13" s="120" t="str">
        <f>'Data 3 Table'!BU3</f>
        <v>Per cent of persons with  'Fair' or 'poor' self-reported health status, 2020</v>
      </c>
      <c r="C13" s="120"/>
      <c r="D13" s="120"/>
      <c r="E13" s="120"/>
      <c r="F13" s="120"/>
      <c r="G13" s="126">
        <f>VLOOKUP($H$11,'Data 3 Table'!$A$4:$FZ$84,2+$A13)</f>
        <v>22.315539999999999</v>
      </c>
      <c r="H13" s="126"/>
      <c r="I13" s="11"/>
      <c r="J13" s="126">
        <f>VLOOKUP($J$11,'Data 3 Table'!$A$4:$FZ$84,2+$A13)</f>
        <v>20.999876129032256</v>
      </c>
      <c r="K13" s="126"/>
      <c r="M13" s="81">
        <f t="shared" ref="M13:M22" si="0">(G13-J13)/J13*100</f>
        <v>6.2651030076736616</v>
      </c>
      <c r="N13" s="114" t="str">
        <f>'Data 3 Table'!BU85</f>
        <v>Victorian Population Health Survey, 2022 (update 2026)</v>
      </c>
      <c r="O13" s="114"/>
      <c r="P13" s="114"/>
      <c r="Q13" s="5"/>
    </row>
    <row r="14" spans="1:17" ht="22.95" customHeight="1">
      <c r="A14" s="10">
        <v>72</v>
      </c>
      <c r="B14" s="119" t="str">
        <f>'Data 3 Table'!BV3</f>
        <v>Per cent of persons living with disability, 2021</v>
      </c>
      <c r="C14" s="119"/>
      <c r="D14" s="119"/>
      <c r="E14" s="119"/>
      <c r="F14" s="119"/>
      <c r="G14" s="121">
        <f>VLOOKUP($H$11,'Data 3 Table'!$A$4:$FZ$84,2+$A14)</f>
        <v>6.8297347273097984</v>
      </c>
      <c r="H14" s="121"/>
      <c r="I14" s="11"/>
      <c r="J14" s="128">
        <f>VLOOKUP($J$11,'Data 3 Table'!$A$4:$FZ$84,2+$A14)</f>
        <v>5.8</v>
      </c>
      <c r="K14" s="128"/>
      <c r="M14" s="82">
        <f t="shared" si="0"/>
        <v>17.754047022582732</v>
      </c>
      <c r="N14" s="113" t="str">
        <f>'Data 3 Table'!BV85</f>
        <v>Census 2021 (update 2026)</v>
      </c>
      <c r="O14" s="114"/>
      <c r="P14" s="114"/>
      <c r="Q14" s="5"/>
    </row>
    <row r="15" spans="1:17" ht="22.95" customHeight="1">
      <c r="A15" s="10">
        <v>73</v>
      </c>
      <c r="B15" s="120" t="str">
        <f>'Data 3 Table'!BW3</f>
        <v>Per cent of persons who have arthritis, 2021</v>
      </c>
      <c r="C15" s="120"/>
      <c r="D15" s="120"/>
      <c r="E15" s="120"/>
      <c r="F15" s="120"/>
      <c r="G15" s="126">
        <f>VLOOKUP($H$11,'Data 3 Table'!$A$4:$FZ$84,2+$A15)</f>
        <v>6.5687726225732144</v>
      </c>
      <c r="H15" s="126"/>
      <c r="I15" s="11"/>
      <c r="J15" s="126">
        <f>VLOOKUP($J$11,'Data 3 Table'!$A$4:$FZ$84,2+$A15)</f>
        <v>6.9480555131920081</v>
      </c>
      <c r="K15" s="126"/>
      <c r="M15" s="81">
        <f t="shared" si="0"/>
        <v>-5.45883506397817</v>
      </c>
      <c r="N15" s="113" t="str">
        <f>'Data 3 Table'!BW85</f>
        <v>Census 2021 (update 2026)</v>
      </c>
      <c r="O15" s="114"/>
      <c r="P15" s="114"/>
      <c r="Q15" s="5"/>
    </row>
    <row r="16" spans="1:17" ht="22.95" customHeight="1">
      <c r="A16" s="10">
        <v>74</v>
      </c>
      <c r="B16" s="119" t="str">
        <f>'Data 3 Table'!BX3</f>
        <v>Per cent of persons who have asthma, 2021</v>
      </c>
      <c r="C16" s="119"/>
      <c r="D16" s="119"/>
      <c r="E16" s="119"/>
      <c r="F16" s="119"/>
      <c r="G16" s="121">
        <f>VLOOKUP($H$11,'Data 3 Table'!$A$4:$FZ$84,2+$A16)</f>
        <v>6.9629538225293413</v>
      </c>
      <c r="H16" s="121"/>
      <c r="I16" s="11"/>
      <c r="J16" s="128">
        <f>VLOOKUP($J$11,'Data 3 Table'!$A$4:$FZ$84,2+$A16)</f>
        <v>7.8561740633419754</v>
      </c>
      <c r="K16" s="128"/>
      <c r="M16" s="82">
        <f t="shared" si="0"/>
        <v>-11.369659501060788</v>
      </c>
      <c r="N16" s="113" t="str">
        <f>'Data 3 Table'!BX85</f>
        <v>Census 2021 (update 2026)</v>
      </c>
      <c r="O16" s="114"/>
      <c r="P16" s="114"/>
    </row>
    <row r="17" spans="1:17" ht="22.95" customHeight="1">
      <c r="A17" s="10">
        <v>75</v>
      </c>
      <c r="B17" s="120" t="str">
        <f>'Data 3 Table'!BY3</f>
        <v>Per cent of persons who have cancer, 2021</v>
      </c>
      <c r="C17" s="120"/>
      <c r="D17" s="120"/>
      <c r="E17" s="120"/>
      <c r="F17" s="120"/>
      <c r="G17" s="126">
        <f>VLOOKUP($H$11,'Data 3 Table'!$A$4:$FZ$84,2+$A17)</f>
        <v>2.0545409674234945</v>
      </c>
      <c r="H17" s="126"/>
      <c r="I17" s="11"/>
      <c r="J17" s="126">
        <f>VLOOKUP($J$11,'Data 3 Table'!$A$4:$FZ$84,2+$A17)</f>
        <v>2.4924609831731992</v>
      </c>
      <c r="K17" s="126"/>
      <c r="M17" s="81">
        <f t="shared" si="0"/>
        <v>-17.569784189447191</v>
      </c>
      <c r="N17" s="113" t="str">
        <f>'Data 3 Table'!BY85</f>
        <v>Census 2021 (update 2026)</v>
      </c>
      <c r="O17" s="114"/>
      <c r="P17" s="114"/>
      <c r="Q17" s="5"/>
    </row>
    <row r="18" spans="1:17" ht="22.95" customHeight="1">
      <c r="A18" s="10">
        <v>76</v>
      </c>
      <c r="B18" s="130" t="str">
        <f>'Data 3 Table'!BZ3</f>
        <v>Per cent of persons who have dementia, 2021</v>
      </c>
      <c r="C18" s="119"/>
      <c r="D18" s="119"/>
      <c r="E18" s="119"/>
      <c r="F18" s="119"/>
      <c r="G18" s="121">
        <f>VLOOKUP($H$11,'Data 3 Table'!$A$4:$FZ$84,2+$A18)</f>
        <v>0.90764505868158385</v>
      </c>
      <c r="H18" s="121"/>
      <c r="I18" s="11"/>
      <c r="J18" s="128">
        <f>VLOOKUP($J$11,'Data 3 Table'!$A$4:$FZ$84,2+$A18)</f>
        <v>0.67292969345737375</v>
      </c>
      <c r="K18" s="128"/>
      <c r="M18" s="82">
        <f t="shared" si="0"/>
        <v>34.87962672865438</v>
      </c>
      <c r="N18" s="113" t="str">
        <f>'Data 3 Table'!BZ85</f>
        <v>Census 2021 (update 2026)</v>
      </c>
      <c r="O18" s="114"/>
      <c r="P18" s="114"/>
    </row>
    <row r="19" spans="1:17" ht="22.95" customHeight="1">
      <c r="A19" s="10">
        <v>77</v>
      </c>
      <c r="B19" s="120" t="str">
        <f>'Data 3 Table'!CA3</f>
        <v>Per cent of persons who have diabetes mellitus, 2021</v>
      </c>
      <c r="C19" s="120"/>
      <c r="D19" s="120"/>
      <c r="E19" s="120"/>
      <c r="F19" s="120"/>
      <c r="G19" s="126">
        <f>VLOOKUP($H$11,'Data 3 Table'!$A$4:$FZ$84,2+$A19)</f>
        <v>6.6236152243062412</v>
      </c>
      <c r="H19" s="126"/>
      <c r="I19" s="11"/>
      <c r="J19" s="126">
        <f>VLOOKUP($J$11,'Data 3 Table'!$A$4:$FZ$84,2+$A19)</f>
        <v>4.4719434700828637</v>
      </c>
      <c r="K19" s="126"/>
      <c r="M19" s="81">
        <f t="shared" si="0"/>
        <v>48.11491398802292</v>
      </c>
      <c r="N19" s="113" t="str">
        <f>'Data 3 Table'!CA85</f>
        <v>Census 2021 (update 2026)</v>
      </c>
      <c r="O19" s="114"/>
      <c r="P19" s="114"/>
    </row>
    <row r="20" spans="1:17" ht="22.95" customHeight="1">
      <c r="A20" s="10">
        <v>78</v>
      </c>
      <c r="B20" s="130" t="str">
        <f>'Data 3 Table'!CB3</f>
        <v>Per cent of persons who have heart disease, 2021</v>
      </c>
      <c r="C20" s="130"/>
      <c r="D20" s="130"/>
      <c r="E20" s="130"/>
      <c r="F20" s="130"/>
      <c r="G20" s="121">
        <f>VLOOKUP($H$11,'Data 3 Table'!$A$4:$FZ$84,2+$A20)</f>
        <v>3.4948447954370958</v>
      </c>
      <c r="H20" s="121"/>
      <c r="I20" s="11"/>
      <c r="J20" s="128">
        <f>VLOOKUP($J$11,'Data 3 Table'!$A$4:$FZ$84,2+$A20)</f>
        <v>3.3317472421330896</v>
      </c>
      <c r="K20" s="128"/>
      <c r="M20" s="82">
        <f t="shared" si="0"/>
        <v>4.8952558958099717</v>
      </c>
      <c r="N20" s="113" t="str">
        <f>'Data 3 Table'!CB85</f>
        <v>Census 2021 (update 2026)</v>
      </c>
      <c r="O20" s="114"/>
      <c r="P20" s="114"/>
    </row>
    <row r="21" spans="1:17" ht="22.95" customHeight="1">
      <c r="A21" s="8">
        <v>79</v>
      </c>
      <c r="B21" s="120" t="str">
        <f>'Data 3 Table'!CC3</f>
        <v>Per cent of persons who have lung disease, 2021</v>
      </c>
      <c r="C21" s="120"/>
      <c r="D21" s="120"/>
      <c r="E21" s="120"/>
      <c r="F21" s="120"/>
      <c r="G21" s="126">
        <f>VLOOKUP($H$11,'Data 3 Table'!$A$4:$FZ$84,2+$A21)</f>
        <v>1.2373862016014041</v>
      </c>
      <c r="H21" s="126"/>
      <c r="I21" s="11"/>
      <c r="J21" s="126">
        <f>VLOOKUP($J$11,'Data 3 Table'!$A$4:$FZ$84,2+$A21)</f>
        <v>1.1982105637740836</v>
      </c>
      <c r="K21" s="126"/>
      <c r="M21" s="81">
        <f t="shared" si="0"/>
        <v>3.2695119715792158</v>
      </c>
      <c r="N21" s="113" t="str">
        <f>'Data 3 Table'!CC85</f>
        <v>Census 2021 (update 2026)</v>
      </c>
      <c r="O21" s="114"/>
      <c r="P21" s="114"/>
    </row>
    <row r="22" spans="1:17" ht="22.95" customHeight="1">
      <c r="A22" s="8">
        <v>80</v>
      </c>
      <c r="B22" s="130" t="str">
        <f>'Data 3 Table'!CD3</f>
        <v>Per cent of persons who have a mental health condition, 2021</v>
      </c>
      <c r="C22" s="130"/>
      <c r="D22" s="130"/>
      <c r="E22" s="130"/>
      <c r="F22" s="130"/>
      <c r="G22" s="121">
        <f>VLOOKUP($H$11,'Data 3 Table'!$A$4:$FZ$84,2+$A22)</f>
        <v>6.5118734232751994</v>
      </c>
      <c r="H22" s="121"/>
      <c r="I22" s="11"/>
      <c r="J22" s="128">
        <f>VLOOKUP($J$11,'Data 3 Table'!$A$4:$FZ$84,2+$A22)</f>
        <v>8.098724009963906</v>
      </c>
      <c r="K22" s="128"/>
      <c r="M22" s="82">
        <f t="shared" si="0"/>
        <v>-19.593834593405028</v>
      </c>
      <c r="N22" s="113" t="str">
        <f>'Data 3 Table'!CD85</f>
        <v>Census 2021 (update 2026)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337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IF(Nutrition!$K$11=1,CONCATENATE(G12,":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IF(Nutrition!K11=2,"A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91</v>
      </c>
      <c r="B13" s="120" t="str">
        <f>'Data 3 Table'!CO3</f>
        <v>Per cent of residents who meet fruit consumption guidelines, 2017</v>
      </c>
      <c r="C13" s="120"/>
      <c r="D13" s="120"/>
      <c r="E13" s="120"/>
      <c r="F13" s="120"/>
      <c r="G13" s="126">
        <f>VLOOKUP($H$11,'Data 3 Table'!$A$4:$FZ$84,2+$A13)</f>
        <v>37.92</v>
      </c>
      <c r="H13" s="126"/>
      <c r="I13" s="11"/>
      <c r="J13" s="126">
        <f>VLOOKUP($J$11,'Data 3 Table'!$A$4:$FZ$84,2+$A13)</f>
        <v>43.82322580645161</v>
      </c>
      <c r="K13" s="126"/>
      <c r="M13" s="81">
        <f t="shared" ref="M13:M22" si="0">(G13-J13)/J13*100</f>
        <v>-13.470541471601438</v>
      </c>
      <c r="N13" s="114" t="str">
        <f>'Data 3 Table'!CO85</f>
        <v>Victorian Population Health Survey, 2017 (update unknown)</v>
      </c>
      <c r="O13" s="114"/>
      <c r="P13" s="114"/>
      <c r="Q13" s="5"/>
    </row>
    <row r="14" spans="1:17" ht="22.95" customHeight="1">
      <c r="A14" s="10">
        <v>92</v>
      </c>
      <c r="B14" s="119" t="str">
        <f>'Data 3 Table'!CP3</f>
        <v>Per cent of residents who met vegetable consumption guidelines , 2017</v>
      </c>
      <c r="C14" s="119"/>
      <c r="D14" s="119"/>
      <c r="E14" s="119"/>
      <c r="F14" s="119"/>
      <c r="G14" s="121">
        <f>VLOOKUP($H$11,'Data 3 Table'!$A$4:$FZ$84,2+$A14)</f>
        <v>1.49</v>
      </c>
      <c r="H14" s="121"/>
      <c r="I14" s="11"/>
      <c r="J14" s="128">
        <f>VLOOKUP($J$11,'Data 3 Table'!$A$4:$FZ$84,2+$A14)</f>
        <v>5.2574193548387083</v>
      </c>
      <c r="K14" s="128"/>
      <c r="M14" s="82">
        <f t="shared" si="0"/>
        <v>-71.659099275984772</v>
      </c>
      <c r="N14" s="113" t="str">
        <f>'Data 3 Table'!CP85</f>
        <v>Victorian Population Health Survey, 2017 (update unknown)</v>
      </c>
      <c r="O14" s="114"/>
      <c r="P14" s="114"/>
      <c r="Q14" s="5"/>
    </row>
    <row r="15" spans="1:17" ht="22.95" customHeight="1">
      <c r="A15" s="10">
        <v>93</v>
      </c>
      <c r="B15" s="120" t="str">
        <f>'Data 3 Table'!CQ3</f>
        <v>Per cent of residents who consume take-away meals, or snacks, more than once a week, 2017</v>
      </c>
      <c r="C15" s="120"/>
      <c r="D15" s="120"/>
      <c r="E15" s="120"/>
      <c r="F15" s="120"/>
      <c r="G15" s="126">
        <f>VLOOKUP($H$11,'Data 3 Table'!$A$4:$FZ$84,2+$A15)</f>
        <v>15.3</v>
      </c>
      <c r="H15" s="126"/>
      <c r="I15" s="11"/>
      <c r="J15" s="126">
        <f>VLOOKUP($J$11,'Data 3 Table'!$A$4:$FZ$84,2+$A15)</f>
        <v>15.21935483870968</v>
      </c>
      <c r="K15" s="126"/>
      <c r="M15" s="81">
        <f t="shared" si="0"/>
        <v>0.52988554472232474</v>
      </c>
      <c r="N15" s="113" t="str">
        <f>'Data 3 Table'!CQ85</f>
        <v>Victorian Population Health Survey, 2017 (update unknown)</v>
      </c>
      <c r="O15" s="114"/>
      <c r="P15" s="114"/>
      <c r="Q15" s="5"/>
    </row>
    <row r="16" spans="1:17" ht="22.95" customHeight="1">
      <c r="A16" s="10">
        <v>94</v>
      </c>
      <c r="B16" s="119" t="str">
        <f>'Data 3 Table'!CR3</f>
        <v>Per cent of residents who consume sugar-sweetened soft drinks daily, 2017</v>
      </c>
      <c r="C16" s="119"/>
      <c r="D16" s="119"/>
      <c r="E16" s="119"/>
      <c r="F16" s="119"/>
      <c r="G16" s="121">
        <f>VLOOKUP($H$11,'Data 3 Table'!$A$4:$FZ$84,2+$A16)</f>
        <v>11.3</v>
      </c>
      <c r="H16" s="121"/>
      <c r="I16" s="11"/>
      <c r="J16" s="128">
        <f>VLOOKUP($J$11,'Data 3 Table'!$A$4:$FZ$84,2+$A16)</f>
        <v>9.1193548387096754</v>
      </c>
      <c r="K16" s="128"/>
      <c r="M16" s="82">
        <f t="shared" si="0"/>
        <v>23.912274495932117</v>
      </c>
      <c r="N16" s="113" t="str">
        <f>'Data 3 Table'!CR85</f>
        <v>Victorian Population Health Survey, 2017 (update unknown)</v>
      </c>
      <c r="O16" s="114"/>
      <c r="P16" s="114"/>
    </row>
    <row r="17" spans="1:17" ht="22.95" customHeight="1">
      <c r="A17" s="10">
        <v>95</v>
      </c>
      <c r="B17" s="120" t="str">
        <f>'Data 3 Table'!CS3</f>
        <v>Per cent of residents who ran out of money to buy food during the past 12 months, 2020</v>
      </c>
      <c r="C17" s="120"/>
      <c r="D17" s="120"/>
      <c r="E17" s="120"/>
      <c r="F17" s="120"/>
      <c r="G17" s="126">
        <f>VLOOKUP($H$11,'Data 3 Table'!$A$4:$FZ$84,2+$A17)</f>
        <v>12.93365</v>
      </c>
      <c r="H17" s="126"/>
      <c r="I17" s="11"/>
      <c r="J17" s="126">
        <f>VLOOKUP($J$11,'Data 3 Table'!$A$4:$FZ$84,2+$A17)</f>
        <v>5.8868295862068969</v>
      </c>
      <c r="K17" s="126"/>
      <c r="M17" s="81">
        <f t="shared" si="0"/>
        <v>119.70484809521437</v>
      </c>
      <c r="N17" s="113" t="str">
        <f>'Data 3 Table'!CS85</f>
        <v>Victorian Population Health Survey, 2020 (update 2026)</v>
      </c>
      <c r="O17" s="114"/>
      <c r="P17" s="114"/>
      <c r="Q17" s="5"/>
    </row>
    <row r="18" spans="1:17" ht="22.95" customHeight="1">
      <c r="A18" s="10">
        <v>96</v>
      </c>
      <c r="B18" s="130" t="str">
        <f>'Data 3 Table'!CT3</f>
        <v>Per cent of residents who with a sedentary level of activity, 2017</v>
      </c>
      <c r="C18" s="119"/>
      <c r="D18" s="119"/>
      <c r="E18" s="119"/>
      <c r="F18" s="119"/>
      <c r="G18" s="121">
        <f>VLOOKUP($H$11,'Data 3 Table'!$A$4:$FZ$84,2+$A18)</f>
        <v>7.06</v>
      </c>
      <c r="H18" s="121"/>
      <c r="I18" s="11"/>
      <c r="J18" s="128">
        <f>VLOOKUP($J$11,'Data 3 Table'!$A$4:$FZ$84,2+$A18)</f>
        <v>2.6667741935483877</v>
      </c>
      <c r="K18" s="128"/>
      <c r="M18" s="82">
        <f t="shared" si="0"/>
        <v>164.73932502721658</v>
      </c>
      <c r="N18" s="113" t="str">
        <f>'Data 3 Table'!CT85</f>
        <v>Victorian Population Health Survey, 2017 (update unknown)</v>
      </c>
      <c r="O18" s="114"/>
      <c r="P18" s="114"/>
    </row>
    <row r="19" spans="1:17" ht="22.95" customHeight="1">
      <c r="A19" s="10">
        <v>97</v>
      </c>
      <c r="B19" s="120" t="str">
        <f>'Data 3 Table'!CU3</f>
        <v>Per cent of residents who are obese, 2020</v>
      </c>
      <c r="C19" s="120"/>
      <c r="D19" s="120"/>
      <c r="E19" s="120"/>
      <c r="F19" s="120"/>
      <c r="G19" s="126">
        <f>VLOOKUP($H$11,'Data 3 Table'!$A$4:$FZ$84,2+$A19)</f>
        <v>18.830179999999999</v>
      </c>
      <c r="H19" s="126"/>
      <c r="I19" s="11"/>
      <c r="J19" s="126">
        <f>VLOOKUP($J$11,'Data 3 Table'!$A$4:$FZ$84,2+$A19)</f>
        <v>18.20337864516129</v>
      </c>
      <c r="K19" s="126"/>
      <c r="M19" s="81">
        <f t="shared" si="0"/>
        <v>3.4433242699443629</v>
      </c>
      <c r="N19" s="113" t="str">
        <f>'Data 3 Table'!CU85</f>
        <v>Victorian Population Health Survey, 2020 (update 2026)</v>
      </c>
      <c r="O19" s="114"/>
      <c r="P19" s="114"/>
    </row>
    <row r="20" spans="1:17" ht="22.95" customHeight="1">
      <c r="A20" s="10">
        <v>98</v>
      </c>
      <c r="B20" s="130" t="str">
        <f>'Data 3 Table'!CV3</f>
        <v>Per cent of residents with increased lifetime risk of alcohol-related harm, 2017</v>
      </c>
      <c r="C20" s="130"/>
      <c r="D20" s="130"/>
      <c r="E20" s="130"/>
      <c r="F20" s="130"/>
      <c r="G20" s="121">
        <f>VLOOKUP($H$11,'Data 3 Table'!$A$4:$FZ$84,2+$A20)</f>
        <v>41.31</v>
      </c>
      <c r="H20" s="121"/>
      <c r="I20" s="11"/>
      <c r="J20" s="128">
        <f>VLOOKUP($J$11,'Data 3 Table'!$A$4:$FZ$84,2+$A20)</f>
        <v>59.627741935483883</v>
      </c>
      <c r="K20" s="128"/>
      <c r="M20" s="82">
        <f t="shared" si="0"/>
        <v>-30.72016705798341</v>
      </c>
      <c r="N20" s="113" t="str">
        <f>'Data 3 Table'!CV85</f>
        <v>Victorian Population Health Survey, 2017 (update unknown)</v>
      </c>
      <c r="O20" s="114"/>
      <c r="P20" s="114"/>
    </row>
    <row r="21" spans="1:17" ht="22.95" customHeight="1">
      <c r="A21" s="10">
        <v>99</v>
      </c>
      <c r="B21" s="120" t="str">
        <f>'Data 3 Table'!CW3</f>
        <v>Per cent of residents who are current smokers, 2020</v>
      </c>
      <c r="C21" s="120"/>
      <c r="D21" s="120"/>
      <c r="E21" s="120"/>
      <c r="F21" s="120"/>
      <c r="G21" s="126">
        <f>VLOOKUP($H$11,'Data 3 Table'!$A$4:$FZ$84,2+$A21)</f>
        <v>13.05475</v>
      </c>
      <c r="H21" s="126"/>
      <c r="I21" s="11"/>
      <c r="J21" s="126">
        <f>VLOOKUP($J$11,'Data 3 Table'!$A$4:$FZ$84,2+$A21)</f>
        <v>11.202443161290322</v>
      </c>
      <c r="K21" s="126"/>
      <c r="M21" s="81">
        <f t="shared" si="0"/>
        <v>16.534847015428422</v>
      </c>
      <c r="N21" s="113" t="str">
        <f>'Data 3 Table'!CW85</f>
        <v>Victorian Population Health Survey, 2020 (update 2026)</v>
      </c>
      <c r="O21" s="114"/>
      <c r="P21" s="114"/>
    </row>
    <row r="22" spans="1:17" ht="22.95" customHeight="1">
      <c r="A22" s="10">
        <v>100</v>
      </c>
      <c r="B22" s="130" t="str">
        <f>'Data 3 Table'!CX3</f>
        <v>Number of ambulance callouts to illicit drug-related incidents, per 100,000 pop., 2022/23</v>
      </c>
      <c r="C22" s="130"/>
      <c r="D22" s="130"/>
      <c r="E22" s="130"/>
      <c r="F22" s="130"/>
      <c r="G22" s="121">
        <f>VLOOKUP($H$11,'Data 3 Table'!$A$4:$FZ$84,2+$A22)</f>
        <v>294.27566669922828</v>
      </c>
      <c r="H22" s="121"/>
      <c r="I22" s="11"/>
      <c r="J22" s="128">
        <f>VLOOKUP($J$11,'Data 3 Table'!$A$4:$FZ$84,2+$A22)</f>
        <v>199.26291290129146</v>
      </c>
      <c r="K22" s="128"/>
      <c r="M22" s="82">
        <f t="shared" si="0"/>
        <v>47.682106225659332</v>
      </c>
      <c r="N22" s="113" t="str">
        <f>'Data 3 Table'!CX85</f>
        <v>Turning Point, 2024 (update, 2025)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IF(Safety!$K$11=1,CONCATENATE(G12,":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IF(Safety!K11=2,"A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101</v>
      </c>
      <c r="B13" s="120" t="str">
        <f>'Data 3 Table'!CY3</f>
        <v>Total offence rate, per 100,000 pop., 2023/24</v>
      </c>
      <c r="C13" s="120"/>
      <c r="D13" s="120"/>
      <c r="E13" s="120"/>
      <c r="F13" s="120"/>
      <c r="G13" s="127">
        <f>VLOOKUP($H$11,'Data 3 Table'!$A$4:$FZ$84,2+$A13)</f>
        <v>11782.016215688191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51.830105872270494</v>
      </c>
      <c r="N13" s="114" t="str">
        <f>'Data 3 Table'!CY85</f>
        <v>Crime Statistics Agency 2024 (update 2025)</v>
      </c>
      <c r="O13" s="114"/>
      <c r="P13" s="114"/>
      <c r="Q13" s="5"/>
    </row>
    <row r="14" spans="1:17" ht="22.95" customHeight="1">
      <c r="A14" s="10">
        <v>102</v>
      </c>
      <c r="B14" s="119" t="str">
        <f>'Data 3 Table'!CZ3</f>
        <v>Property offence rate, per 100,000 pop., 2023/24</v>
      </c>
      <c r="C14" s="119"/>
      <c r="D14" s="119"/>
      <c r="E14" s="119"/>
      <c r="F14" s="119"/>
      <c r="G14" s="138">
        <f>VLOOKUP($H$11,'Data 3 Table'!$A$4:$FZ$84,2+$A14)</f>
        <v>6563.2021099931617</v>
      </c>
      <c r="H14" s="138"/>
      <c r="I14" s="11"/>
      <c r="J14" s="139">
        <f>VLOOKUP($J$11,'Data 3 Table'!$A$4:$FZ$84,2+$A14)</f>
        <v>4700.0443284243711</v>
      </c>
      <c r="K14" s="139"/>
      <c r="M14" s="82">
        <f t="shared" si="0"/>
        <v>39.641281047095781</v>
      </c>
      <c r="N14" s="113" t="str">
        <f>'Data 3 Table'!CZ85</f>
        <v>Crime Statistics Agency 2024 (update 2025)</v>
      </c>
      <c r="O14" s="114"/>
      <c r="P14" s="114"/>
      <c r="Q14" s="5"/>
    </row>
    <row r="15" spans="1:17" ht="22.95" customHeight="1">
      <c r="A15" s="10">
        <v>103</v>
      </c>
      <c r="B15" s="120" t="str">
        <f>'Data 3 Table'!DA3</f>
        <v>Violent offence rate, per 100,000 pop., 2023/24</v>
      </c>
      <c r="C15" s="120"/>
      <c r="D15" s="120"/>
      <c r="E15" s="120"/>
      <c r="F15" s="120"/>
      <c r="G15" s="127">
        <f>VLOOKUP($H$11,'Data 3 Table'!$A$4:$FZ$84,2+$A15)</f>
        <v>1835.254469082739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56.280731894517352</v>
      </c>
      <c r="N15" s="113" t="str">
        <f>'Data 3 Table'!DA85</f>
        <v>Crime Statistics Agency 2024 (update 2025)</v>
      </c>
      <c r="O15" s="114"/>
      <c r="P15" s="114"/>
      <c r="Q15" s="5"/>
    </row>
    <row r="16" spans="1:17" ht="22.95" customHeight="1">
      <c r="A16" s="10">
        <v>104</v>
      </c>
      <c r="B16" s="119" t="str">
        <f>'Data 3 Table'!DB3</f>
        <v>Drug offence rate, per 100,000 pop., 2023/24</v>
      </c>
      <c r="C16" s="119"/>
      <c r="D16" s="119"/>
      <c r="E16" s="119"/>
      <c r="F16" s="119"/>
      <c r="G16" s="138">
        <f>VLOOKUP($H$11,'Data 3 Table'!$A$4:$FZ$84,2+$A16)</f>
        <v>860.84790465956826</v>
      </c>
      <c r="H16" s="138"/>
      <c r="I16" s="11"/>
      <c r="J16" s="139">
        <f>VLOOKUP($J$11,'Data 3 Table'!$A$4:$FZ$84,2+$A16)</f>
        <v>441.29063732078066</v>
      </c>
      <c r="K16" s="139"/>
      <c r="M16" s="82">
        <f t="shared" si="0"/>
        <v>95.075043940668351</v>
      </c>
      <c r="N16" s="113" t="str">
        <f>'Data 3 Table'!DB85</f>
        <v>Crime Statistics Agency 2024 (update 2025)</v>
      </c>
      <c r="O16" s="114"/>
      <c r="P16" s="114"/>
    </row>
    <row r="17" spans="1:17" ht="22.95" customHeight="1">
      <c r="A17" s="10">
        <v>105</v>
      </c>
      <c r="B17" s="120" t="str">
        <f>'Data 3 Table'!DC3</f>
        <v>Rate of Family related violent offences, per 100,000 women, female victims, 2023/24</v>
      </c>
      <c r="C17" s="120"/>
      <c r="D17" s="120"/>
      <c r="E17" s="120"/>
      <c r="F17" s="120"/>
      <c r="G17" s="127">
        <f>VLOOKUP($H$11,'Data 3 Table'!$A$4:$FZ$84,2+$A17)</f>
        <v>954.86959070040041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57.309652504184584</v>
      </c>
      <c r="N17" s="114" t="str">
        <f>'Data 3 Table'!DC85</f>
        <v>Crime Statistics Agency, 2024 (update 2025)</v>
      </c>
      <c r="O17" s="114"/>
      <c r="P17" s="114"/>
      <c r="Q17" s="5"/>
    </row>
    <row r="18" spans="1:17" ht="22.95" customHeight="1">
      <c r="A18" s="10">
        <v>106</v>
      </c>
      <c r="B18" s="119" t="str">
        <f>'Data 3 Table'!DD3</f>
        <v>Per cent of people who do not feel safe walking alone at night in their neighbourhood, 2015</v>
      </c>
      <c r="C18" s="119"/>
      <c r="D18" s="119"/>
      <c r="E18" s="119"/>
      <c r="F18" s="119"/>
      <c r="G18" s="121">
        <f>VLOOKUP($H$11,'Data 3 Table'!$A$4:$FZ$84,2+$A18)</f>
        <v>63.7</v>
      </c>
      <c r="H18" s="121"/>
      <c r="I18" s="11"/>
      <c r="J18" s="128">
        <f>VLOOKUP($J$11,'Data 3 Table'!$A$4:$FZ$84,2+$A18)</f>
        <v>44.5</v>
      </c>
      <c r="K18" s="128"/>
      <c r="M18" s="82">
        <f t="shared" si="0"/>
        <v>43.146067415730343</v>
      </c>
      <c r="N18" s="114" t="str">
        <f>'Data 3 Table'!DD85</f>
        <v>Dept. Transport, Planning and Local Infrastructure, 2015</v>
      </c>
      <c r="O18" s="114"/>
      <c r="P18" s="114"/>
    </row>
    <row r="19" spans="1:17" ht="22.95" customHeight="1">
      <c r="A19" s="10">
        <v>107</v>
      </c>
      <c r="B19" s="117">
        <f>'Data 3 Table'!DE3</f>
        <v>0</v>
      </c>
      <c r="C19" s="117"/>
      <c r="D19" s="117"/>
      <c r="E19" s="117"/>
      <c r="F19" s="117"/>
      <c r="G19" s="118">
        <f>VLOOKUP($H$11,'Data 3 Table'!$A$4:$FZ$84,2+$A19)</f>
        <v>0</v>
      </c>
      <c r="H19" s="118"/>
      <c r="I19" s="80"/>
      <c r="J19" s="118">
        <f>VLOOKUP($J$11,'Data 3 Table'!$A$4:$FZ$84,2+$A19)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108</v>
      </c>
      <c r="B20" s="116">
        <f>'Data 3 Table'!DF3</f>
        <v>0</v>
      </c>
      <c r="C20" s="116"/>
      <c r="D20" s="116"/>
      <c r="E20" s="116"/>
      <c r="F20" s="116"/>
      <c r="G20" s="118">
        <f>VLOOKUP($H$11,'Data 3 Table'!$A$4:$FZ$84,2+$A20)</f>
        <v>0</v>
      </c>
      <c r="H20" s="118"/>
      <c r="I20" s="80"/>
      <c r="J20" s="118">
        <f>VLOOKUP($J$11,'Data 3 Table'!$A$4:$FZ$84,2+$A20)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109</v>
      </c>
      <c r="B21" s="117">
        <f>'Data 3 Table'!DG3</f>
        <v>0</v>
      </c>
      <c r="C21" s="117"/>
      <c r="D21" s="117"/>
      <c r="E21" s="117"/>
      <c r="F21" s="117"/>
      <c r="G21" s="118">
        <f>VLOOKUP($H$11,'Data 3 Table'!$A$4:$FZ$84,2+$A21)</f>
        <v>0</v>
      </c>
      <c r="H21" s="118"/>
      <c r="I21" s="80"/>
      <c r="J21" s="118">
        <f>VLOOKUP($J$11,'Data 3 Table'!$A$4:$FZ$84,2+$A21)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110</v>
      </c>
      <c r="B22" s="116">
        <f>'Data 3 Table'!DH3</f>
        <v>0</v>
      </c>
      <c r="C22" s="116"/>
      <c r="D22" s="116"/>
      <c r="E22" s="116"/>
      <c r="F22" s="116"/>
      <c r="G22" s="118">
        <f>VLOOKUP($H$11,'Data 3 Table'!$A$4:$FZ$84,2+$A22)</f>
        <v>0</v>
      </c>
      <c r="H22" s="118"/>
      <c r="I22" s="80"/>
      <c r="J22" s="118">
        <f>VLOOKUP($J$11,'Data 3 Table'!$A$4:$FZ$84,2+$A22)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IF('Early Years'!$K$11=1,CONCATENATE(G12,":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IF('Early Years'!K11=2,"A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111</v>
      </c>
      <c r="B13" s="120" t="str">
        <f>'Data 3 Table'!DI3</f>
        <v>Population aged 0-14 years, 2024</v>
      </c>
      <c r="C13" s="120"/>
      <c r="D13" s="120"/>
      <c r="E13" s="120"/>
      <c r="F13" s="120"/>
      <c r="G13" s="127">
        <f>VLOOKUP($H$11,'Data 3 Table'!$A$4:$HH$84,2+$A13)</f>
        <v>28429.012335991752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-96.91558844891523</v>
      </c>
      <c r="N13" s="114" t="str">
        <f>'Data 3 Table'!DI85</f>
        <v>Victorian Dept. Transport and Planning (Victoria in Future)</v>
      </c>
      <c r="O13" s="114"/>
      <c r="P13" s="114"/>
      <c r="Q13" s="5"/>
    </row>
    <row r="14" spans="1:17" ht="22.95" customHeight="1">
      <c r="A14" s="10">
        <v>112</v>
      </c>
      <c r="B14" s="119" t="str">
        <f>'Data 3 Table'!DJ3</f>
        <v>Per cent of children who were presented for their 3-year key ages-and-stages visit, 2017</v>
      </c>
      <c r="C14" s="119"/>
      <c r="D14" s="119"/>
      <c r="E14" s="119"/>
      <c r="F14" s="119"/>
      <c r="G14" s="121">
        <f>VLOOKUP($H$11,'Data 3 Table'!$A$4:$HH$84,2+$A14)</f>
        <v>69.40974773450894</v>
      </c>
      <c r="H14" s="121"/>
      <c r="I14" s="11"/>
      <c r="J14" s="128">
        <f>VLOOKUP($J$11,'Data 3 Table'!$A$4:$HH$84,2+$A14)</f>
        <v>60.801829829093322</v>
      </c>
      <c r="K14" s="128"/>
      <c r="M14" s="82">
        <f t="shared" si="0"/>
        <v>14.157333635536048</v>
      </c>
      <c r="N14" s="113" t="str">
        <f>'Data 3 Table'!DJ85</f>
        <v>Victorian Dept. of Health 2024 (update undetermined)</v>
      </c>
      <c r="O14" s="114"/>
      <c r="P14" s="114"/>
      <c r="Q14" s="5"/>
    </row>
    <row r="15" spans="1:17" ht="22.95" customHeight="1">
      <c r="A15" s="10">
        <v>113</v>
      </c>
      <c r="B15" s="120" t="str">
        <f>'Data 3 Table'!DK3</f>
        <v>Per cent of children fully breast feeding at 3 months, 2017/18</v>
      </c>
      <c r="C15" s="120"/>
      <c r="D15" s="120"/>
      <c r="E15" s="120"/>
      <c r="F15" s="120"/>
      <c r="G15" s="126">
        <f>VLOOKUP($H$11,'Data 3 Table'!$A$4:$HH$84,2+$A15)</f>
        <v>52.503265128428389</v>
      </c>
      <c r="H15" s="126"/>
      <c r="I15" s="11"/>
      <c r="J15" s="126">
        <f>VLOOKUP($J$11,'Data 3 Table'!$A$4:$HH$84,2+$A15)</f>
        <v>51.031679695822476</v>
      </c>
      <c r="K15" s="126"/>
      <c r="M15" s="81">
        <f t="shared" si="0"/>
        <v>2.8836703815696252</v>
      </c>
      <c r="N15" s="113" t="str">
        <f>'Data 3 Table'!DK85</f>
        <v>Victorian Dept. of Health 2024 (update undetermined)</v>
      </c>
      <c r="O15" s="114"/>
      <c r="P15" s="114"/>
      <c r="Q15" s="5"/>
    </row>
    <row r="16" spans="1:17" ht="22.95" customHeight="1">
      <c r="A16" s="10">
        <v>114</v>
      </c>
      <c r="B16" s="119" t="str">
        <f>'Data 3 Table'!DL3</f>
        <v>Per cent of prep. pupils developmentally vulnerable in 1 or more domains, 2021</v>
      </c>
      <c r="C16" s="119"/>
      <c r="D16" s="119"/>
      <c r="E16" s="119"/>
      <c r="F16" s="119"/>
      <c r="G16" s="121">
        <f>VLOOKUP($H$11,'Data 3 Table'!$A$4:$HH$84,2+$A16)</f>
        <v>28.2</v>
      </c>
      <c r="H16" s="121"/>
      <c r="I16" s="11"/>
      <c r="J16" s="128">
        <f>VLOOKUP($J$11,'Data 3 Table'!$A$4:$HH$84,2+$A16)</f>
        <v>17.716129032258063</v>
      </c>
      <c r="K16" s="128"/>
      <c r="M16" s="82">
        <f t="shared" si="0"/>
        <v>59.17698470502549</v>
      </c>
      <c r="N16" s="113" t="str">
        <f>'Data 3 Table'!DL85</f>
        <v>Commonwealth Early Development Index, 2021 (update 2025)</v>
      </c>
      <c r="O16" s="114"/>
      <c r="P16" s="114"/>
    </row>
    <row r="17" spans="1:17" ht="22.95" customHeight="1">
      <c r="A17" s="10">
        <v>115</v>
      </c>
      <c r="B17" s="120" t="str">
        <f>'Data 3 Table'!DM3</f>
        <v xml:space="preserve"> Child protection investigations completed per 1,000 eligible pop., 2014</v>
      </c>
      <c r="C17" s="120"/>
      <c r="D17" s="120"/>
      <c r="E17" s="120"/>
      <c r="F17" s="120"/>
      <c r="G17" s="126">
        <f>VLOOKUP($H$11,'Data 3 Table'!$A$4:$HI$84,2+$A17)</f>
        <v>23.5</v>
      </c>
      <c r="H17" s="126"/>
      <c r="I17" s="11"/>
      <c r="J17" s="126">
        <f>VLOOKUP($J$11,'Data 3 Table'!$A$4:$HI$84,2+$A17)</f>
        <v>12.725806451612904</v>
      </c>
      <c r="K17" s="126"/>
      <c r="M17" s="81">
        <f t="shared" si="0"/>
        <v>84.664131812420777</v>
      </c>
      <c r="N17" s="113" t="str">
        <f>'Data 3 Table'!DM85</f>
        <v>Dept. Health and Human Services 2015 (update undetermined)</v>
      </c>
      <c r="O17" s="114"/>
      <c r="P17" s="114"/>
      <c r="Q17" s="5"/>
    </row>
    <row r="18" spans="1:17" ht="22.95" customHeight="1">
      <c r="A18" s="10">
        <v>116</v>
      </c>
      <c r="B18" s="116">
        <f>'Data 3 Table'!DN3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117</v>
      </c>
      <c r="B19" s="116">
        <f>'Data 3 Table'!DO3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118</v>
      </c>
      <c r="B20" s="116">
        <f>'Data 3 Table'!DP3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119</v>
      </c>
      <c r="B21" s="116">
        <f>'Data 3 Table'!DQ3</f>
        <v>0</v>
      </c>
      <c r="C21" s="116"/>
      <c r="D21" s="116"/>
      <c r="E21" s="116"/>
      <c r="F21" s="116"/>
      <c r="G21" s="8"/>
      <c r="H21" s="8"/>
      <c r="I21" s="8"/>
      <c r="J21" s="118"/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120</v>
      </c>
      <c r="B22" s="116">
        <f>'Data 3 Table'!DR3</f>
        <v>0</v>
      </c>
      <c r="C22" s="116"/>
      <c r="D22" s="116"/>
      <c r="E22" s="116"/>
      <c r="F22" s="116"/>
      <c r="G22" s="118"/>
      <c r="H22" s="118"/>
      <c r="I22" s="80"/>
      <c r="J22" s="118"/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  <mergeCell ref="B15:F15"/>
    <mergeCell ref="G15:H15"/>
    <mergeCell ref="J15:K15"/>
    <mergeCell ref="N15:P15"/>
    <mergeCell ref="B16:F16"/>
    <mergeCell ref="G16:H16"/>
    <mergeCell ref="J16:K16"/>
    <mergeCell ref="N16:P16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IF('Young People'!$K$11=1,CONCATENATE(G12,":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IF('Young People'!K11=2,"A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121</v>
      </c>
      <c r="B13" s="120" t="str">
        <f>'Data 3 Table'!DS3</f>
        <v>Population aged 12-24, 2024</v>
      </c>
      <c r="C13" s="120"/>
      <c r="D13" s="120"/>
      <c r="E13" s="120"/>
      <c r="F13" s="120"/>
      <c r="G13" s="127">
        <f>VLOOKUP($H$11,'Data 3 Table'!$A$4:$HH$84,2+$A13)</f>
        <v>27152.339679515058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-96.859852828053931</v>
      </c>
      <c r="N13" s="114" t="str">
        <f>'Data 3 Table'!DS85</f>
        <v>Victorian Dept. Transport and Planning (Victoria in Future)</v>
      </c>
      <c r="O13" s="114"/>
      <c r="P13" s="114"/>
      <c r="Q13" s="5"/>
    </row>
    <row r="14" spans="1:17" ht="22.95" customHeight="1">
      <c r="A14" s="10">
        <v>122</v>
      </c>
      <c r="B14" s="119" t="str">
        <f>'Data 3 Table'!DT3</f>
        <v>Per cent of women aged 20-24, who had given birth, 2021</v>
      </c>
      <c r="C14" s="119"/>
      <c r="D14" s="119"/>
      <c r="E14" s="119"/>
      <c r="F14" s="119"/>
      <c r="G14" s="121">
        <f>VLOOKUP($H$11,'Data 3 Table'!$A$4:$HH$84,2+$A14)</f>
        <v>7.8259092766653051</v>
      </c>
      <c r="H14" s="121"/>
      <c r="I14" s="11"/>
      <c r="J14" s="128">
        <f>VLOOKUP($J$11,'Data 3 Table'!$A$4:$HH$84,2+$A14)</f>
        <v>4.1288689106122556</v>
      </c>
      <c r="K14" s="128"/>
      <c r="M14" s="82">
        <f t="shared" si="0"/>
        <v>89.54123868042177</v>
      </c>
      <c r="N14" s="113" t="str">
        <f>'Data 3 Table'!DT85</f>
        <v>Census 2021 (update 2026)</v>
      </c>
      <c r="O14" s="114"/>
      <c r="P14" s="114"/>
      <c r="Q14" s="5"/>
    </row>
    <row r="15" spans="1:17" ht="22.95" customHeight="1">
      <c r="A15" s="10">
        <v>123</v>
      </c>
      <c r="B15" s="120" t="str">
        <f>'Data 3 Table'!DU3</f>
        <v>Per cent of  20-24 year olds who had left school before completing year 11, 2021</v>
      </c>
      <c r="C15" s="120"/>
      <c r="D15" s="120"/>
      <c r="E15" s="120"/>
      <c r="F15" s="120"/>
      <c r="G15" s="126">
        <f>VLOOKUP($H$11,'Data 3 Table'!$A$4:$HH$84,2+$A15)</f>
        <v>8.1360390830514842</v>
      </c>
      <c r="H15" s="126"/>
      <c r="I15" s="11"/>
      <c r="J15" s="126">
        <f>VLOOKUP($J$11,'Data 3 Table'!$A$4:$HH$84,2+$A15)</f>
        <v>6.3273493484426542</v>
      </c>
      <c r="K15" s="126"/>
      <c r="M15" s="81">
        <f t="shared" si="0"/>
        <v>28.5852674636023</v>
      </c>
      <c r="N15" s="113" t="str">
        <f>'Data 3 Table'!DU85</f>
        <v>Census 2021 (update 2026)</v>
      </c>
      <c r="O15" s="114"/>
      <c r="P15" s="114"/>
      <c r="Q15" s="5"/>
    </row>
    <row r="16" spans="1:17" ht="22.95" customHeight="1">
      <c r="A16" s="10">
        <v>124</v>
      </c>
      <c r="B16" s="119" t="str">
        <f>'Data 3 Table'!DV3</f>
        <v>Per cent of 20-24 year-olds who are not in paid employment or in formal educations, 2021</v>
      </c>
      <c r="C16" s="119"/>
      <c r="D16" s="119"/>
      <c r="E16" s="119"/>
      <c r="F16" s="119"/>
      <c r="G16" s="121">
        <f>VLOOKUP($H$11,'Data 3 Table'!$A$4:$HH$84,2+$A16)</f>
        <v>13.187019320952917</v>
      </c>
      <c r="H16" s="121"/>
      <c r="I16" s="11"/>
      <c r="J16" s="128">
        <f>VLOOKUP($J$11,'Data 3 Table'!$A$4:$HH$84,2+$A16)</f>
        <v>9.4889317053000841</v>
      </c>
      <c r="K16" s="128"/>
      <c r="M16" s="82">
        <f t="shared" si="0"/>
        <v>38.972644450452201</v>
      </c>
      <c r="N16" s="113" t="str">
        <f>'Data 3 Table'!DV85</f>
        <v>Census 2021 (update 2026)</v>
      </c>
      <c r="O16" s="114"/>
      <c r="P16" s="114"/>
    </row>
    <row r="17" spans="1:17" ht="22.95" customHeight="1">
      <c r="A17" s="10">
        <v>125</v>
      </c>
      <c r="B17" s="120" t="str">
        <f>'Data 3 Table'!DW3</f>
        <v>Unemployment rate among 20-24 year olds, 2021</v>
      </c>
      <c r="C17" s="120"/>
      <c r="D17" s="120"/>
      <c r="E17" s="120"/>
      <c r="F17" s="120"/>
      <c r="G17" s="126">
        <f>VLOOKUP($H$11,'Data 3 Table'!$A$4:$HI$84,2+$A17)</f>
        <v>11.116631474351012</v>
      </c>
      <c r="H17" s="126"/>
      <c r="I17" s="11"/>
      <c r="J17" s="126">
        <f>VLOOKUP($J$11,'Data 3 Table'!$A$4:$HI$84,2+$A17)</f>
        <v>9.2367053062979974</v>
      </c>
      <c r="K17" s="126"/>
      <c r="M17" s="81">
        <f t="shared" si="0"/>
        <v>20.352778460640039</v>
      </c>
      <c r="N17" s="113" t="str">
        <f>'Data 3 Table'!DW85</f>
        <v>Census 2021 (update 2026)</v>
      </c>
      <c r="O17" s="114"/>
      <c r="P17" s="114"/>
      <c r="Q17" s="5"/>
    </row>
    <row r="18" spans="1:17" ht="22.95" customHeight="1">
      <c r="A18" s="10">
        <v>126</v>
      </c>
      <c r="B18" s="116">
        <f>'Data 3 Table'!DX3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127</v>
      </c>
      <c r="B19" s="116">
        <f>'Data 3 Table'!DY3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128</v>
      </c>
      <c r="B20" s="116">
        <f>'Data 3 Table'!DZ3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129</v>
      </c>
      <c r="B21" s="116">
        <f>'Data 3 Table'!EA3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130</v>
      </c>
      <c r="B22" s="116">
        <f>'Data 3 Table'!EB3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IF(Families!$K$11=1,CONCATENATE(G12,":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IF(Families!K11=2,"A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131</v>
      </c>
      <c r="B13" s="120" t="str">
        <f>'Data 3 Table'!EC3</f>
        <v>Per cent of families with children that are one-parent families, 2021</v>
      </c>
      <c r="C13" s="120"/>
      <c r="D13" s="120"/>
      <c r="E13" s="120"/>
      <c r="F13" s="120"/>
      <c r="G13" s="126">
        <f>VLOOKUP($H$11,'Data 3 Table'!$A$4:$HH$84,2+$A13)</f>
        <v>28.44053851907255</v>
      </c>
      <c r="H13" s="126"/>
      <c r="I13" s="11"/>
      <c r="J13" s="126">
        <f>VLOOKUP($J$11,'Data 3 Table'!$A$4:$HH$84,2+$A13)</f>
        <v>23.851661100670615</v>
      </c>
      <c r="K13" s="126"/>
      <c r="M13" s="81">
        <f t="shared" ref="M13:M22" si="0">(G13-J13)/J13*100</f>
        <v>19.239236206793638</v>
      </c>
      <c r="N13" s="114" t="str">
        <f>'Data 3 Table'!EC85</f>
        <v>Census 2021 (update 2026)</v>
      </c>
      <c r="O13" s="114"/>
      <c r="P13" s="114"/>
      <c r="Q13" s="5"/>
    </row>
    <row r="14" spans="1:17" ht="22.95" customHeight="1">
      <c r="A14" s="10">
        <v>132</v>
      </c>
      <c r="B14" s="119" t="str">
        <f>'Data 3 Table'!ED3</f>
        <v>Per cent of two-parent families with no parent in paid work, 2021</v>
      </c>
      <c r="C14" s="119"/>
      <c r="D14" s="119"/>
      <c r="E14" s="119"/>
      <c r="F14" s="119"/>
      <c r="G14" s="121">
        <f>VLOOKUP($H$11,'Data 3 Table'!$A$4:$HH$84,2+$A14)</f>
        <v>17.121865516690622</v>
      </c>
      <c r="H14" s="121"/>
      <c r="I14" s="11"/>
      <c r="J14" s="128">
        <f>VLOOKUP($J$11,'Data 3 Table'!$A$4:$HH$84,2+$A14)</f>
        <v>8.4970204700647898</v>
      </c>
      <c r="K14" s="128"/>
      <c r="M14" s="82">
        <f t="shared" si="0"/>
        <v>101.50434587054806</v>
      </c>
      <c r="N14" s="113" t="str">
        <f>'Data 3 Table'!ED85</f>
        <v>Census 2021 (update 2026)</v>
      </c>
      <c r="O14" s="114"/>
      <c r="P14" s="114"/>
      <c r="Q14" s="5"/>
    </row>
    <row r="15" spans="1:17" ht="22.95" customHeight="1">
      <c r="A15" s="10">
        <v>133</v>
      </c>
      <c r="B15" s="120" t="str">
        <f>'Data 3 Table'!EE3</f>
        <v>Birth rate per 1,000 women aged 20-24, 2022</v>
      </c>
      <c r="C15" s="120"/>
      <c r="D15" s="120"/>
      <c r="E15" s="120"/>
      <c r="F15" s="120"/>
      <c r="G15" s="145">
        <f>VLOOKUP($H$11,'Data 3 Table'!$A$4:$HH$84,2+$A15)</f>
        <v>27.983795712834993</v>
      </c>
      <c r="H15" s="145"/>
      <c r="I15" s="11"/>
      <c r="J15" s="145">
        <f>VLOOKUP($J$11,'Data 3 Table'!$A$4:$HH$84,2+$A15)</f>
        <v>18</v>
      </c>
      <c r="K15" s="145"/>
      <c r="M15" s="81">
        <f t="shared" si="0"/>
        <v>55.465531737972185</v>
      </c>
      <c r="N15" s="113" t="str">
        <f>'Data 3 Table'!EE85</f>
        <v>Australian Bureau of Statistics, 2023 (update 2024)</v>
      </c>
      <c r="O15" s="114"/>
      <c r="P15" s="114"/>
      <c r="Q15" s="5"/>
    </row>
    <row r="16" spans="1:17" ht="22.95" customHeight="1">
      <c r="A16" s="10">
        <v>134</v>
      </c>
      <c r="B16" s="119" t="str">
        <f>'Data 3 Table'!EF3</f>
        <v>Average number of children born to women in their lifetime, based on current birth rates, 2022</v>
      </c>
      <c r="C16" s="119"/>
      <c r="D16" s="119"/>
      <c r="E16" s="119"/>
      <c r="F16" s="119"/>
      <c r="G16" s="121">
        <f>VLOOKUP($H$11,'Data 3 Table'!$A$4:$HH$84,2+$A16)</f>
        <v>1.3700007539165771</v>
      </c>
      <c r="H16" s="121"/>
      <c r="I16" s="11"/>
      <c r="J16" s="128">
        <f>VLOOKUP($J$11,'Data 3 Table'!$A$4:$HH$84,2+$A16)</f>
        <v>1.4256727157270994</v>
      </c>
      <c r="K16" s="128"/>
      <c r="M16" s="82">
        <f t="shared" si="0"/>
        <v>-3.9049608789159871</v>
      </c>
      <c r="N16" s="113" t="str">
        <f>'Data 3 Table'!EF85</f>
        <v>Census 2021 (update 2026)</v>
      </c>
      <c r="O16" s="114"/>
      <c r="P16" s="114"/>
    </row>
    <row r="17" spans="1:17" ht="22.95" customHeight="1">
      <c r="A17" s="10">
        <v>135</v>
      </c>
      <c r="B17" s="120" t="str">
        <f>'Data 3 Table'!EG3</f>
        <v>Median weekly household gross income: two-parent families, 2021</v>
      </c>
      <c r="C17" s="120"/>
      <c r="D17" s="120"/>
      <c r="E17" s="120"/>
      <c r="F17" s="120"/>
      <c r="G17" s="144">
        <f>VLOOKUP($H$11,'Data 3 Table'!$A$4:$HI$84,2+$A17)</f>
        <v>1985.7211231652841</v>
      </c>
      <c r="H17" s="144"/>
      <c r="I17" s="11"/>
      <c r="J17" s="144">
        <f>VLOOKUP($J$11,'Data 3 Table'!$A$4:$HI$84,2+$A17)</f>
        <v>3120.9514559579711</v>
      </c>
      <c r="K17" s="144"/>
      <c r="M17" s="81">
        <f t="shared" si="0"/>
        <v>-36.374495047832447</v>
      </c>
      <c r="N17" s="113" t="str">
        <f>'Data 3 Table'!EG85</f>
        <v>Census 2021 (update 2026)</v>
      </c>
      <c r="O17" s="114"/>
      <c r="P17" s="114"/>
      <c r="Q17" s="5"/>
    </row>
    <row r="18" spans="1:17" ht="22.95" customHeight="1">
      <c r="A18" s="10">
        <v>136</v>
      </c>
      <c r="B18" s="130" t="str">
        <f>'Data 3 Table'!EH3</f>
        <v>Median weekly household gross income: one-parent families, 2021</v>
      </c>
      <c r="C18" s="119"/>
      <c r="D18" s="119"/>
      <c r="E18" s="119"/>
      <c r="F18" s="119"/>
      <c r="G18" s="132">
        <f>VLOOKUP($H$11,'Data 3 Table'!$A$4:$HI$84,2+$A18)</f>
        <v>1134.6385542168675</v>
      </c>
      <c r="H18" s="132"/>
      <c r="I18" s="11"/>
      <c r="J18" s="133">
        <f>VLOOKUP($J$11,'Data 3 Table'!$A$4:$HI$84,2+$A18)</f>
        <v>1351.0680267896173</v>
      </c>
      <c r="K18" s="133"/>
      <c r="M18" s="82">
        <f t="shared" si="0"/>
        <v>-16.019139545994989</v>
      </c>
      <c r="N18" s="113" t="str">
        <f>'Data 3 Table'!EH85</f>
        <v>Census 2021 (update 2026)</v>
      </c>
      <c r="O18" s="114"/>
      <c r="P18" s="114"/>
    </row>
    <row r="19" spans="1:17" ht="22.95" customHeight="1">
      <c r="A19" s="10">
        <v>137</v>
      </c>
      <c r="B19" s="131" t="str">
        <f>'Data 3 Table'!EI3</f>
        <v>Rate of Police callouts to family incidents, per 100,000 residents, 2023/24</v>
      </c>
      <c r="C19" s="120"/>
      <c r="D19" s="120"/>
      <c r="E19" s="120"/>
      <c r="F19" s="120"/>
      <c r="G19" s="127">
        <f>VLOOKUP($H$11,'Data 3 Table'!$A$4:$HI$84,2+$A19)</f>
        <v>1618.5161668457556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11.875268181373254</v>
      </c>
      <c r="N19" s="113" t="str">
        <f>'Data 3 Table'!EI85</f>
        <v>Census 2021 (update 2026)</v>
      </c>
      <c r="O19" s="114"/>
      <c r="P19" s="114"/>
    </row>
    <row r="20" spans="1:17" ht="22.95" customHeight="1">
      <c r="A20" s="10">
        <v>138</v>
      </c>
      <c r="B20" s="116">
        <f>'Data 3 Table'!EJ3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139</v>
      </c>
      <c r="B21" s="116">
        <f>'Data 3 Table'!EK3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140</v>
      </c>
      <c r="B22" s="116">
        <f>'Data 3 Table'!EL3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IF('Older People'!$K$11=1,CONCATENATE(G12,":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IF('Older People'!K11=2,"A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141</v>
      </c>
      <c r="B13" s="120" t="str">
        <f>'Data 3 Table'!EM3</f>
        <v>Population aged 65 years or more, 2024</v>
      </c>
      <c r="C13" s="120"/>
      <c r="D13" s="120"/>
      <c r="E13" s="120"/>
      <c r="F13" s="120"/>
      <c r="G13" s="127">
        <f>VLOOKUP($H$11,'Data 3 Table'!$A$4:$HH$84,2+$A13)</f>
        <v>24293.170004268795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-96.866806085784589</v>
      </c>
      <c r="N13" s="114" t="str">
        <f>'Data 3 Table'!EM85</f>
        <v>Victorian Dept. Transport and Planning (Victoria in Future)</v>
      </c>
      <c r="O13" s="114"/>
      <c r="P13" s="114"/>
      <c r="Q13" s="5"/>
    </row>
    <row r="14" spans="1:17" ht="22.95" customHeight="1">
      <c r="A14" s="10">
        <v>142</v>
      </c>
      <c r="B14" s="119" t="str">
        <f>'Data 3 Table'!EN3</f>
        <v>Per cent of 55-59 year olds in paid employment, 2021</v>
      </c>
      <c r="C14" s="119"/>
      <c r="D14" s="119"/>
      <c r="E14" s="119"/>
      <c r="F14" s="119"/>
      <c r="G14" s="121">
        <f>VLOOKUP($H$11,'Data 3 Table'!$A$4:$HH$84,2+$A14)</f>
        <v>63.774678500271683</v>
      </c>
      <c r="H14" s="121"/>
      <c r="I14" s="11"/>
      <c r="J14" s="128">
        <f>VLOOKUP($J$11,'Data 3 Table'!$A$4:$HH$84,2+$A14)</f>
        <v>76.527435139132109</v>
      </c>
      <c r="K14" s="128"/>
      <c r="M14" s="82">
        <f t="shared" si="0"/>
        <v>-16.664293812637315</v>
      </c>
      <c r="N14" s="113" t="str">
        <f>'Data 3 Table'!EN85</f>
        <v>Census 2021 (update 2026)</v>
      </c>
      <c r="O14" s="114"/>
      <c r="P14" s="114"/>
      <c r="Q14" s="5"/>
    </row>
    <row r="15" spans="1:17" ht="22.95" customHeight="1">
      <c r="A15" s="10">
        <v>143</v>
      </c>
      <c r="B15" s="120" t="str">
        <f>'Data 3 Table'!EO3</f>
        <v>Per cent of persons 65+ who are in paid employment, 2021</v>
      </c>
      <c r="C15" s="120"/>
      <c r="D15" s="120"/>
      <c r="E15" s="120"/>
      <c r="F15" s="120"/>
      <c r="G15" s="145">
        <f>VLOOKUP($H$11,'Data 3 Table'!$A$4:$HH$84,2+$A15)</f>
        <v>10.000429941098069</v>
      </c>
      <c r="H15" s="145"/>
      <c r="I15" s="11"/>
      <c r="J15" s="145">
        <f>VLOOKUP($J$11,'Data 3 Table'!$A$4:$HH$84,2+$A15)</f>
        <v>14.684078467153286</v>
      </c>
      <c r="K15" s="145"/>
      <c r="M15" s="81">
        <f t="shared" si="0"/>
        <v>-31.896101185593896</v>
      </c>
      <c r="N15" s="113" t="str">
        <f>'Data 3 Table'!EO85</f>
        <v>Census 2021 (update 2026)</v>
      </c>
      <c r="O15" s="114"/>
      <c r="P15" s="114"/>
      <c r="Q15" s="5"/>
    </row>
    <row r="16" spans="1:17" ht="22.95" customHeight="1">
      <c r="A16" s="10">
        <v>144</v>
      </c>
      <c r="B16" s="119" t="str">
        <f>'Data 3 Table'!EP3</f>
        <v>Aged pension recipients as a percentage of persons aged 65 or more, 2024</v>
      </c>
      <c r="C16" s="119"/>
      <c r="D16" s="119"/>
      <c r="E16" s="119"/>
      <c r="F16" s="119"/>
      <c r="G16" s="121">
        <f>VLOOKUP($H$11,'Data 3 Table'!$A$4:$HH$84,2+$A16)</f>
        <v>70.348991082666217</v>
      </c>
      <c r="H16" s="121"/>
      <c r="I16" s="11"/>
      <c r="J16" s="128">
        <f>VLOOKUP($J$11,'Data 3 Table'!$A$4:$HH$84,2+$A16)</f>
        <v>50.841657995505749</v>
      </c>
      <c r="K16" s="128"/>
      <c r="M16" s="82">
        <f t="shared" si="0"/>
        <v>38.368798061001193</v>
      </c>
      <c r="N16" s="113" t="str">
        <f>'Data 3 Table'!EP85</f>
        <v>Centrelink, 2024 (update 2025)</v>
      </c>
      <c r="O16" s="114"/>
      <c r="P16" s="114"/>
    </row>
    <row r="17" spans="1:17" ht="22.95" customHeight="1">
      <c r="A17" s="10">
        <v>145</v>
      </c>
      <c r="B17" s="120" t="str">
        <f>'Data 3 Table'!EQ3</f>
        <v>Per cent of persons 65+ and living in a private dwelling, who are renting their accommodation, 2021</v>
      </c>
      <c r="C17" s="120"/>
      <c r="D17" s="120"/>
      <c r="E17" s="120"/>
      <c r="F17" s="120"/>
      <c r="G17" s="145">
        <f>VLOOKUP($H$11,'Data 3 Table'!$A$4:$HI$84,2+$A17)</f>
        <v>16.30593607305936</v>
      </c>
      <c r="H17" s="145"/>
      <c r="I17" s="11"/>
      <c r="J17" s="145">
        <f>VLOOKUP($J$11,'Data 3 Table'!$A$4:$HI$84,2+$A17)</f>
        <v>11.303421113599505</v>
      </c>
      <c r="K17" s="145"/>
      <c r="M17" s="81">
        <f t="shared" si="0"/>
        <v>44.256645038564216</v>
      </c>
      <c r="N17" s="114" t="str">
        <f>'Data 3 Table'!EQ85</f>
        <v>Census 2021 (update 2026)</v>
      </c>
      <c r="O17" s="114"/>
      <c r="P17" s="114"/>
      <c r="Q17" s="5"/>
    </row>
    <row r="18" spans="1:17" ht="22.95" customHeight="1">
      <c r="A18" s="10">
        <v>146</v>
      </c>
      <c r="B18" s="119" t="str">
        <f>'Data 3 Table'!ER3</f>
        <v>Per cent of persons 65+ who volunteered in the previous 12 months, 2021</v>
      </c>
      <c r="C18" s="119"/>
      <c r="D18" s="119"/>
      <c r="E18" s="119"/>
      <c r="F18" s="119"/>
      <c r="G18" s="121">
        <f>VLOOKUP($H$11,'Data 3 Table'!$A$4:$HI$84,2+$A18)</f>
        <v>7.4737068040352002</v>
      </c>
      <c r="H18" s="121"/>
      <c r="I18" s="11"/>
      <c r="J18" s="128">
        <f>VLOOKUP($J$11,'Data 3 Table'!$A$4:$HI$84,2+$A18)</f>
        <v>13.731855316732478</v>
      </c>
      <c r="K18" s="128"/>
      <c r="M18" s="82">
        <f t="shared" si="0"/>
        <v>-45.573947353433205</v>
      </c>
      <c r="N18" s="113" t="str">
        <f>'Data 3 Table'!ER85</f>
        <v>Census 2021 (update 2026)</v>
      </c>
      <c r="O18" s="114"/>
      <c r="P18" s="114"/>
    </row>
    <row r="19" spans="1:17" ht="22.95" customHeight="1">
      <c r="A19" s="10">
        <v>147</v>
      </c>
      <c r="B19" s="120" t="str">
        <f>'Data 3 Table'!ES3</f>
        <v>Per cent of persons aged 65+, who are living with disability, 2021</v>
      </c>
      <c r="C19" s="120"/>
      <c r="D19" s="120"/>
      <c r="E19" s="120"/>
      <c r="F19" s="120"/>
      <c r="G19" s="145">
        <f>VLOOKUP($H$11,'Data 3 Table'!$A$4:$HI$84,2+$A19)</f>
        <v>29.517586660443801</v>
      </c>
      <c r="H19" s="145"/>
      <c r="I19" s="11"/>
      <c r="J19" s="145">
        <f>VLOOKUP($J$11,'Data 3 Table'!$A$4:$HI$84,2+$A19)</f>
        <v>22.114409554217634</v>
      </c>
      <c r="K19" s="145"/>
      <c r="M19" s="81">
        <f t="shared" si="0"/>
        <v>33.476711589680413</v>
      </c>
      <c r="N19" s="113" t="str">
        <f>'Data 3 Table'!ES85</f>
        <v>Census 2021 (update 2026)</v>
      </c>
      <c r="O19" s="114"/>
      <c r="P19" s="114"/>
    </row>
    <row r="20" spans="1:17" ht="22.95" customHeight="1">
      <c r="A20" s="10">
        <v>148</v>
      </c>
      <c r="B20" s="119" t="str">
        <f>'Data 3 Table'!ET3</f>
        <v>Median weekly individual gross income, 55-59 year-olds, 2021</v>
      </c>
      <c r="C20" s="119"/>
      <c r="D20" s="119"/>
      <c r="E20" s="119"/>
      <c r="F20" s="119"/>
      <c r="G20" s="132">
        <f>VLOOKUP($H$11,'Data 3 Table'!$A$4:$HI$84,2+$A20)</f>
        <v>707.39389920424401</v>
      </c>
      <c r="H20" s="132"/>
      <c r="I20" s="11"/>
      <c r="J20" s="133">
        <f>VLOOKUP($J$11,'Data 3 Table'!$A$4:$HI$84,2+$A20)</f>
        <v>1149.466672721268</v>
      </c>
      <c r="K20" s="133"/>
      <c r="M20" s="82">
        <f t="shared" si="0"/>
        <v>-38.458946571321896</v>
      </c>
      <c r="N20" s="114" t="str">
        <f>'Data 3 Table'!ET85</f>
        <v>Census 2021 (update 2026)</v>
      </c>
      <c r="O20" s="114"/>
      <c r="P20" s="114"/>
    </row>
    <row r="21" spans="1:17" ht="22.95" customHeight="1">
      <c r="A21" s="10">
        <v>149</v>
      </c>
      <c r="B21" s="116">
        <f>'Data 3 Table'!EU3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150</v>
      </c>
      <c r="B22" s="116">
        <f>'Data 3 Table'!EV3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</row>
    <row r="8" spans="1:17">
      <c r="C8" s="3"/>
      <c r="G8" s="8"/>
      <c r="H8" s="8"/>
      <c r="I8" s="8"/>
      <c r="K8" s="8"/>
      <c r="L8" s="8"/>
      <c r="M8" s="122" t="str">
        <f>IF(Gender!$K$11=1,CONCATENATE(G12,":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IF(Gender!K11=2,"A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151</v>
      </c>
      <c r="B13" s="120" t="str">
        <f>'Data 3 Table'!EW3</f>
        <v>Proportion of men aged 20-24 who had left school before completing year 11: per cent higher or lower than women</v>
      </c>
      <c r="C13" s="120"/>
      <c r="D13" s="120"/>
      <c r="E13" s="120"/>
      <c r="F13" s="120"/>
      <c r="G13" s="126">
        <f>VLOOKUP($H$11,'Data 3 Table'!$A$4:$HH$84,2+$A13)</f>
        <v>24.768182800012344</v>
      </c>
      <c r="H13" s="126"/>
      <c r="I13" s="11"/>
      <c r="J13" s="126">
        <f>VLOOKUP($J$11,'Data 3 Table'!$A$4:$HH$84,2+$A13)</f>
        <v>66.5</v>
      </c>
      <c r="K13" s="126"/>
      <c r="M13" s="81">
        <f t="shared" ref="M13:M22" si="0">(G13-J13)/J13*100</f>
        <v>-62.754612330808513</v>
      </c>
      <c r="N13" s="114" t="str">
        <f>'Data 3 Table'!EW85</f>
        <v>Census 2021 (update 2026)</v>
      </c>
      <c r="O13" s="114"/>
      <c r="P13" s="114"/>
      <c r="Q13" s="5"/>
    </row>
    <row r="14" spans="1:17" ht="22.95" customHeight="1">
      <c r="A14" s="10">
        <v>152</v>
      </c>
      <c r="B14" s="119" t="str">
        <f>'Data 3 Table'!EX3</f>
        <v>Proportion of women aged 25-44 who hold a university degree: per cent higher or lower than men</v>
      </c>
      <c r="C14" s="119"/>
      <c r="D14" s="119"/>
      <c r="E14" s="119"/>
      <c r="F14" s="119"/>
      <c r="G14" s="121">
        <f>VLOOKUP($H$11,'Data 3 Table'!$A$4:$HH$84,2+$A14)</f>
        <v>18.494389962122778</v>
      </c>
      <c r="H14" s="121"/>
      <c r="I14" s="11"/>
      <c r="J14" s="128">
        <f>VLOOKUP($J$11,'Data 3 Table'!$A$4:$HH$84,2+$A14)</f>
        <v>20.100000000000001</v>
      </c>
      <c r="K14" s="128"/>
      <c r="M14" s="82">
        <f t="shared" si="0"/>
        <v>-7.9881096411802162</v>
      </c>
      <c r="N14" s="113" t="str">
        <f>'Data 3 Table'!EX85</f>
        <v>Census 2021 (update 2026)</v>
      </c>
      <c r="O14" s="114"/>
      <c r="P14" s="114"/>
      <c r="Q14" s="5"/>
    </row>
    <row r="15" spans="1:17" ht="22.95" customHeight="1">
      <c r="A15" s="10">
        <v>153</v>
      </c>
      <c r="B15" s="120" t="str">
        <f>'Data 3 Table'!EY3</f>
        <v>Proportion of men aged 15+ who are in paid employment: per cent higher or lower than women</v>
      </c>
      <c r="C15" s="120"/>
      <c r="D15" s="120"/>
      <c r="E15" s="120"/>
      <c r="F15" s="120"/>
      <c r="G15" s="126">
        <f>VLOOKUP($H$11,'Data 3 Table'!$A$4:$HH$84,2+$A15)</f>
        <v>25.809366215567518</v>
      </c>
      <c r="H15" s="126"/>
      <c r="I15" s="11"/>
      <c r="J15" s="126">
        <f>VLOOKUP($J$11,'Data 3 Table'!$A$4:$HH$84,2+$A15)</f>
        <v>14.4</v>
      </c>
      <c r="K15" s="126"/>
      <c r="M15" s="81">
        <f t="shared" si="0"/>
        <v>79.23170983032999</v>
      </c>
      <c r="N15" s="113" t="str">
        <f>'Data 3 Table'!EY85</f>
        <v>Census 2021 (update 2026)</v>
      </c>
      <c r="O15" s="114"/>
      <c r="P15" s="114"/>
      <c r="Q15" s="5"/>
    </row>
    <row r="16" spans="1:17" ht="22.95" customHeight="1">
      <c r="A16" s="10">
        <v>154</v>
      </c>
      <c r="B16" s="119" t="str">
        <f>'Data 3 Table'!EZ3</f>
        <v>Proportion of employed women working as managers or professionals: per cent higher or lower than males</v>
      </c>
      <c r="C16" s="119"/>
      <c r="D16" s="119"/>
      <c r="E16" s="119"/>
      <c r="F16" s="119"/>
      <c r="G16" s="121">
        <f>VLOOKUP($H$11,'Data 3 Table'!$A$4:$HH$84,2+$A16)</f>
        <v>14.561579461609739</v>
      </c>
      <c r="H16" s="121"/>
      <c r="I16" s="11"/>
      <c r="J16" s="128">
        <f>VLOOKUP($J$11,'Data 3 Table'!$A$4:$HH$84,2+$A16)</f>
        <v>4.8499999999999996</v>
      </c>
      <c r="K16" s="128"/>
      <c r="M16" s="82">
        <f t="shared" si="0"/>
        <v>200.23875178576782</v>
      </c>
      <c r="N16" s="113" t="str">
        <f>'Data 3 Table'!EZ85</f>
        <v>Census 2021 (update 2026)</v>
      </c>
      <c r="O16" s="114"/>
      <c r="P16" s="114"/>
    </row>
    <row r="17" spans="1:17" ht="22.95" customHeight="1">
      <c r="A17" s="10">
        <v>155</v>
      </c>
      <c r="B17" s="120" t="str">
        <f>'Data 3 Table'!FA3</f>
        <v>Average incomes among males aged 15-64: per cent higher or lower than female incomes, 2021</v>
      </c>
      <c r="C17" s="120"/>
      <c r="D17" s="120"/>
      <c r="E17" s="120"/>
      <c r="F17" s="120"/>
      <c r="G17" s="126">
        <f>VLOOKUP($H$11,'Data 3 Table'!$A$4:$HI$84,2+$A17)</f>
        <v>55.737016030214981</v>
      </c>
      <c r="H17" s="126"/>
      <c r="I17" s="11"/>
      <c r="J17" s="126">
        <f>VLOOKUP($J$11,'Data 3 Table'!$A$4:$HI$84,2+$A17)</f>
        <v>40.07</v>
      </c>
      <c r="K17" s="126"/>
      <c r="M17" s="81">
        <f t="shared" si="0"/>
        <v>39.099116621449916</v>
      </c>
      <c r="N17" s="113" t="str">
        <f>'Data 3 Table'!FA85</f>
        <v>Census 2021 (update 2026)</v>
      </c>
      <c r="O17" s="114"/>
      <c r="P17" s="114"/>
      <c r="Q17" s="5"/>
    </row>
    <row r="18" spans="1:17" ht="22.95" customHeight="1">
      <c r="A18" s="10">
        <v>156</v>
      </c>
      <c r="B18" s="130" t="str">
        <f>'Data 3 Table'!FB3</f>
        <v>Average hourly income among employed males  aged 15-64: per cent higher or lower than female hourly income, 2021</v>
      </c>
      <c r="C18" s="119"/>
      <c r="D18" s="119"/>
      <c r="E18" s="119"/>
      <c r="F18" s="119"/>
      <c r="G18" s="121">
        <f>VLOOKUP($H$11,'Data 3 Table'!$A$4:$HI$84,2+$A18)</f>
        <v>4.7254139563873165</v>
      </c>
      <c r="H18" s="121"/>
      <c r="I18" s="11"/>
      <c r="J18" s="128">
        <f>VLOOKUP($J$11,'Data 3 Table'!$A$4:$HI$84,2+$A18)</f>
        <v>5</v>
      </c>
      <c r="K18" s="128"/>
      <c r="M18" s="82">
        <f t="shared" si="0"/>
        <v>-5.4917208722536692</v>
      </c>
      <c r="N18" s="113" t="str">
        <f>'Data 3 Table'!FB85</f>
        <v>Census 2021 (update 2026)</v>
      </c>
      <c r="O18" s="114"/>
      <c r="P18" s="114"/>
    </row>
    <row r="19" spans="1:17" ht="22.95" customHeight="1">
      <c r="A19" s="10">
        <v>157</v>
      </c>
      <c r="B19" s="131" t="str">
        <f>'Data 3 Table'!FC3</f>
        <v>Female  average hours worked at home: per cent higher or lower than males, 2021</v>
      </c>
      <c r="C19" s="120"/>
      <c r="D19" s="120"/>
      <c r="E19" s="120"/>
      <c r="F19" s="120"/>
      <c r="G19" s="126">
        <f>VLOOKUP($H$11,'Data 3 Table'!$A$4:$HI$84,2+$A19)</f>
        <v>101.12055308148872</v>
      </c>
      <c r="H19" s="126"/>
      <c r="I19" s="11"/>
      <c r="J19" s="126">
        <f>VLOOKUP($J$11,'Data 3 Table'!$A$4:$HI$84,2+$A19)</f>
        <v>79</v>
      </c>
      <c r="K19" s="126"/>
      <c r="M19" s="81">
        <f t="shared" si="0"/>
        <v>28.000700103150283</v>
      </c>
      <c r="N19" s="113" t="str">
        <f>'Data 3 Table'!FC85</f>
        <v>Census 2021 (update 2026)</v>
      </c>
      <c r="O19" s="114"/>
      <c r="P19" s="114"/>
    </row>
    <row r="20" spans="1:17" ht="22.95" customHeight="1">
      <c r="A20" s="10">
        <v>158</v>
      </c>
      <c r="B20" s="130" t="str">
        <f>'Data 3 Table'!FD3</f>
        <v>Proportion of women who provide unpaid care each week for a person with a disability: per cent higher or lower than men, 2021</v>
      </c>
      <c r="C20" s="119"/>
      <c r="D20" s="119"/>
      <c r="E20" s="119"/>
      <c r="F20" s="119"/>
      <c r="G20" s="121">
        <f>VLOOKUP($H$11,'Data 3 Table'!$A$4:$HI$84,2+$A20)</f>
        <v>41.5620960661117</v>
      </c>
      <c r="H20" s="121"/>
      <c r="I20" s="11"/>
      <c r="J20" s="128">
        <f>VLOOKUP($J$11,'Data 3 Table'!$A$4:$HI$84,2+$A20)</f>
        <v>41.4</v>
      </c>
      <c r="K20" s="128"/>
      <c r="M20" s="82">
        <f t="shared" si="0"/>
        <v>0.39153639157415709</v>
      </c>
      <c r="N20" s="113" t="str">
        <f>'Data 3 Table'!FD85</f>
        <v>Census 2021 (update 2026)</v>
      </c>
      <c r="O20" s="114"/>
      <c r="P20" s="114"/>
    </row>
    <row r="21" spans="1:17" ht="22.95" customHeight="1">
      <c r="A21" s="10">
        <v>159</v>
      </c>
      <c r="B21" s="131" t="str">
        <f>'Data 3 Table'!FE3</f>
        <v>Per cent of sole parents who are female, 2021</v>
      </c>
      <c r="C21" s="120"/>
      <c r="D21" s="120"/>
      <c r="E21" s="120"/>
      <c r="F21" s="120"/>
      <c r="G21" s="126">
        <f>VLOOKUP($H$11,'Data 3 Table'!$A$4:$HI$84,2+$A21)</f>
        <v>83.044164037854898</v>
      </c>
      <c r="H21" s="126"/>
      <c r="I21" s="11"/>
      <c r="J21" s="126">
        <f>VLOOKUP($J$11,'Data 3 Table'!$A$4:$HI$84,2+$A21)</f>
        <v>81.2</v>
      </c>
      <c r="K21" s="126"/>
      <c r="M21" s="81">
        <f t="shared" si="0"/>
        <v>2.2711379776538121</v>
      </c>
      <c r="N21" s="113" t="str">
        <f>'Data 3 Table'!FE85</f>
        <v>Census 2021 (update 2026)</v>
      </c>
      <c r="O21" s="114"/>
      <c r="P21" s="114"/>
    </row>
    <row r="22" spans="1:17" ht="22.95" customHeight="1">
      <c r="A22" s="10">
        <v>160</v>
      </c>
      <c r="B22" s="130" t="str">
        <f>'Data 3 Table'!FF3</f>
        <v>Rate of Family related violent offences, per 100,000 persons, female victims, 2023/24</v>
      </c>
      <c r="C22" s="119"/>
      <c r="D22" s="119"/>
      <c r="E22" s="119"/>
      <c r="F22" s="119"/>
      <c r="G22" s="138">
        <f>VLOOKUP($H$11,'Data 3 Table'!$A$4:$HI$84,2+$A22)</f>
        <v>954.86959070040041</v>
      </c>
      <c r="H22" s="138"/>
      <c r="I22" s="11"/>
      <c r="J22" s="139">
        <f>VLOOKUP($J$11,'Data 3 Table'!$A$4:$HI$84,2+$A22)</f>
        <v>607</v>
      </c>
      <c r="K22" s="139"/>
      <c r="M22" s="82">
        <f t="shared" si="0"/>
        <v>57.309652504184584</v>
      </c>
      <c r="N22" s="113" t="str">
        <f>'Data 3 Table'!FE85</f>
        <v>Census 2021 (update 2026)</v>
      </c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4" t="s">
        <v>257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7">
      <c r="C8" s="3"/>
      <c r="G8" s="8"/>
      <c r="H8" s="8"/>
      <c r="I8" s="8"/>
      <c r="K8" s="8"/>
      <c r="L8" s="8"/>
      <c r="M8" s="122" t="str">
        <f>IF(Transport!$K$11=1,CONCATENATE(G12,":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/>
      <c r="G11" s="28"/>
      <c r="H11" s="87">
        <f>Community!H11</f>
        <v>26</v>
      </c>
      <c r="I11" s="8"/>
      <c r="J11" s="87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IF(Transport!K11=2,"A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25" t="s">
        <v>258</v>
      </c>
      <c r="P12" s="125"/>
      <c r="Q12" s="78"/>
    </row>
    <row r="13" spans="1:17" ht="22.95" customHeight="1">
      <c r="A13" s="10">
        <v>161</v>
      </c>
      <c r="B13" s="120" t="str">
        <f>'Data 3 Table'!FG3</f>
        <v>Per cent of couple families with children under 15 that own fewer than two cars, 2021</v>
      </c>
      <c r="C13" s="120"/>
      <c r="D13" s="120"/>
      <c r="E13" s="120"/>
      <c r="F13" s="120"/>
      <c r="G13" s="126">
        <f>VLOOKUP($H$11,'Data 3 Table'!$A$4:$HH$84,2+$A13)</f>
        <v>22.73502884537255</v>
      </c>
      <c r="H13" s="126"/>
      <c r="I13" s="11"/>
      <c r="J13" s="126">
        <f>VLOOKUP($J$11,'Data 3 Table'!$A$4:$HH$84,2+$A13)</f>
        <v>24.19652222607105</v>
      </c>
      <c r="K13" s="126"/>
      <c r="M13" s="81">
        <f t="shared" ref="M13:M22" si="0">(G13-J13)/J13*100</f>
        <v>-6.0400968661677448</v>
      </c>
      <c r="N13" s="114" t="str">
        <f>'Data 3 Table'!FG85</f>
        <v>Census 2021 (update 2026)</v>
      </c>
      <c r="O13" s="114"/>
      <c r="P13" s="114"/>
      <c r="Q13" s="5"/>
    </row>
    <row r="14" spans="1:17" ht="22.95" customHeight="1">
      <c r="A14" s="10">
        <v>162</v>
      </c>
      <c r="B14" s="119" t="str">
        <f>'Data 3 Table'!FH3</f>
        <v>Per cent of one parent families with children under 15 that have no car, 2021</v>
      </c>
      <c r="C14" s="119"/>
      <c r="D14" s="119"/>
      <c r="E14" s="119"/>
      <c r="F14" s="119"/>
      <c r="G14" s="121">
        <f>VLOOKUP($H$11,'Data 3 Table'!$A$4:$HH$84,2+$A14)</f>
        <v>7.1575342465753424</v>
      </c>
      <c r="H14" s="121"/>
      <c r="I14" s="11"/>
      <c r="J14" s="128">
        <f>VLOOKUP($J$11,'Data 3 Table'!$A$4:$HH$84,2+$A14)</f>
        <v>6.8072742282215657</v>
      </c>
      <c r="K14" s="128"/>
      <c r="M14" s="82">
        <f t="shared" si="0"/>
        <v>5.1453784086098722</v>
      </c>
      <c r="N14" s="113" t="str">
        <f>'Data 3 Table'!FH85</f>
        <v>Census 2021 (update 2026)</v>
      </c>
      <c r="O14" s="114"/>
      <c r="P14" s="114"/>
      <c r="Q14" s="5"/>
    </row>
    <row r="15" spans="1:17" ht="22.95" customHeight="1">
      <c r="A15" s="10">
        <v>163</v>
      </c>
      <c r="B15" s="120" t="str">
        <f>'Data 3 Table'!FI3</f>
        <v>Per cent of Persons travelling to work, who Used Active or Public Transport, 2021</v>
      </c>
      <c r="C15" s="120"/>
      <c r="D15" s="120"/>
      <c r="E15" s="120"/>
      <c r="F15" s="120"/>
      <c r="G15" s="126">
        <f>VLOOKUP($H$11,'Data 3 Table'!$A$4:$HH$84,2+$A15)</f>
        <v>7.915637978220512</v>
      </c>
      <c r="H15" s="126"/>
      <c r="I15" s="11"/>
      <c r="J15" s="126">
        <f>VLOOKUP($J$11,'Data 3 Table'!$A$4:$HH$84,2+$A15)</f>
        <v>5.8</v>
      </c>
      <c r="K15" s="126"/>
      <c r="M15" s="81">
        <f t="shared" si="0"/>
        <v>36.476516865870899</v>
      </c>
      <c r="N15" s="113" t="str">
        <f>'Data 3 Table'!FI85</f>
        <v>Census 2021 (update 2026)</v>
      </c>
      <c r="O15" s="114"/>
      <c r="P15" s="114"/>
      <c r="Q15" s="5"/>
    </row>
    <row r="16" spans="1:17" ht="22.95" customHeight="1">
      <c r="A16" s="10">
        <v>164</v>
      </c>
      <c r="B16" s="119" t="str">
        <f>'Data 3 Table'!FJ3</f>
        <v>Per cent of Persons travelling to work, who walked only, 2021</v>
      </c>
      <c r="C16" s="119"/>
      <c r="D16" s="119"/>
      <c r="E16" s="119"/>
      <c r="F16" s="119"/>
      <c r="G16" s="121">
        <f>VLOOKUP($H$11,'Data 3 Table'!$A$4:$HH$84,2+$A16)</f>
        <v>1.3333078276838319</v>
      </c>
      <c r="H16" s="121"/>
      <c r="I16" s="11"/>
      <c r="J16" s="128">
        <f>VLOOKUP($J$11,'Data 3 Table'!$A$4:$HH$84,2+$A16)</f>
        <v>3.34</v>
      </c>
      <c r="K16" s="128"/>
      <c r="M16" s="82">
        <f t="shared" si="0"/>
        <v>-60.080603961561906</v>
      </c>
      <c r="N16" s="113" t="str">
        <f>'Data 3 Table'!FJ85</f>
        <v>Census 2021 (update 2026)</v>
      </c>
      <c r="O16" s="114"/>
      <c r="P16" s="114"/>
    </row>
    <row r="17" spans="1:17" ht="22.95" customHeight="1">
      <c r="A17" s="10">
        <v>165</v>
      </c>
      <c r="B17" s="120" t="str">
        <f>'Data 3 Table'!FK3</f>
        <v>Per cent of Persons travelling to work, who drove by car, 2021</v>
      </c>
      <c r="C17" s="120"/>
      <c r="D17" s="120"/>
      <c r="E17" s="120"/>
      <c r="F17" s="120"/>
      <c r="G17" s="126">
        <f>VLOOKUP($H$11,'Data 3 Table'!$A$4:$HI$84,2+$A17)</f>
        <v>80.467135970617491</v>
      </c>
      <c r="H17" s="126"/>
      <c r="I17" s="11"/>
      <c r="J17" s="126">
        <f>VLOOKUP($J$11,'Data 3 Table'!$A$4:$HI$84,2+$A17)</f>
        <v>73.400000000000006</v>
      </c>
      <c r="K17" s="126"/>
      <c r="M17" s="81">
        <f t="shared" si="0"/>
        <v>9.6282506411682363</v>
      </c>
      <c r="N17" s="113" t="str">
        <f>'Data 3 Table'!FK85</f>
        <v>Census 2021 (update 2026)</v>
      </c>
      <c r="O17" s="114"/>
      <c r="P17" s="114"/>
      <c r="Q17" s="5"/>
    </row>
    <row r="18" spans="1:17" ht="22.95" customHeight="1">
      <c r="A18" s="10">
        <v>166</v>
      </c>
      <c r="B18" s="116">
        <f>'Data 3 Table'!FL3</f>
        <v>0</v>
      </c>
      <c r="C18" s="117"/>
      <c r="D18" s="117"/>
      <c r="E18" s="117"/>
      <c r="F18" s="117"/>
      <c r="G18" s="118">
        <f>VLOOKUP($H$11,'Data 3 Table'!$A$4:$HI$84,2+$A18)</f>
        <v>0</v>
      </c>
      <c r="H18" s="118"/>
      <c r="I18" s="80"/>
      <c r="J18" s="118">
        <f>VLOOKUP($J$11,'Data 3 Table'!$A$4:$HI$84,2+$A18)</f>
        <v>0</v>
      </c>
      <c r="K18" s="118"/>
      <c r="M18" s="27" t="e">
        <f t="shared" si="0"/>
        <v>#DIV/0!</v>
      </c>
      <c r="N18" s="114"/>
      <c r="O18" s="114"/>
      <c r="P18" s="114"/>
    </row>
    <row r="19" spans="1:17" ht="22.95" customHeight="1">
      <c r="A19" s="10">
        <v>167</v>
      </c>
      <c r="B19" s="116">
        <f>'Data 3 Table'!FM3</f>
        <v>0</v>
      </c>
      <c r="C19" s="117"/>
      <c r="D19" s="117"/>
      <c r="E19" s="117"/>
      <c r="F19" s="117"/>
      <c r="G19" s="118">
        <f>VLOOKUP($H$11,'Data 3 Table'!$A$4:$HI$84,2+$A19)</f>
        <v>0</v>
      </c>
      <c r="H19" s="118"/>
      <c r="I19" s="80"/>
      <c r="J19" s="118">
        <f>VLOOKUP($J$11,'Data 3 Table'!$A$4:$HI$84,2+$A19)</f>
        <v>0</v>
      </c>
      <c r="K19" s="118"/>
      <c r="M19" s="27" t="e">
        <f t="shared" si="0"/>
        <v>#DIV/0!</v>
      </c>
      <c r="N19" s="114"/>
      <c r="O19" s="114"/>
      <c r="P19" s="114"/>
    </row>
    <row r="20" spans="1:17" ht="22.95" customHeight="1">
      <c r="A20" s="10">
        <v>168</v>
      </c>
      <c r="B20" s="116">
        <f>'Data 3 Table'!FN3</f>
        <v>0</v>
      </c>
      <c r="C20" s="117"/>
      <c r="D20" s="117"/>
      <c r="E20" s="117"/>
      <c r="F20" s="117"/>
      <c r="G20" s="118">
        <f>VLOOKUP($H$11,'Data 3 Table'!$A$4:$HI$84,2+$A20)</f>
        <v>0</v>
      </c>
      <c r="H20" s="118"/>
      <c r="I20" s="80"/>
      <c r="J20" s="118">
        <f>VLOOKUP($J$11,'Data 3 Table'!$A$4:$HI$84,2+$A20)</f>
        <v>0</v>
      </c>
      <c r="K20" s="118"/>
      <c r="M20" s="27" t="e">
        <f t="shared" si="0"/>
        <v>#DIV/0!</v>
      </c>
      <c r="N20" s="114"/>
      <c r="O20" s="114"/>
      <c r="P20" s="114"/>
    </row>
    <row r="21" spans="1:17" ht="22.95" customHeight="1">
      <c r="A21" s="10">
        <v>169</v>
      </c>
      <c r="B21" s="116">
        <f>'Data 3 Table'!FO5</f>
        <v>0</v>
      </c>
      <c r="C21" s="117"/>
      <c r="D21" s="117"/>
      <c r="E21" s="117"/>
      <c r="F21" s="117"/>
      <c r="G21" s="118">
        <f>VLOOKUP($H$11,'Data 3 Table'!$A$4:$HI$84,2+$A21)</f>
        <v>0</v>
      </c>
      <c r="H21" s="118"/>
      <c r="I21" s="80"/>
      <c r="J21" s="118">
        <f>VLOOKUP($J$11,'Data 3 Table'!$A$4:$HI$84,2+$A21)</f>
        <v>0</v>
      </c>
      <c r="K21" s="118"/>
      <c r="M21" s="27" t="e">
        <f t="shared" si="0"/>
        <v>#DIV/0!</v>
      </c>
      <c r="N21" s="114"/>
      <c r="O21" s="114"/>
      <c r="P21" s="114"/>
    </row>
    <row r="22" spans="1:17" ht="22.95" customHeight="1">
      <c r="A22" s="10">
        <v>170</v>
      </c>
      <c r="B22" s="116">
        <f>'Data 3 Table'!FP5</f>
        <v>0</v>
      </c>
      <c r="C22" s="117"/>
      <c r="D22" s="117"/>
      <c r="E22" s="117"/>
      <c r="F22" s="117"/>
      <c r="G22" s="118">
        <f>VLOOKUP($H$11,'Data 3 Table'!$A$4:$HI$84,2+$A22)</f>
        <v>0</v>
      </c>
      <c r="H22" s="118"/>
      <c r="I22" s="80"/>
      <c r="J22" s="118">
        <f>VLOOKUP($J$11,'Data 3 Table'!$A$4:$HI$84,2+$A22)</f>
        <v>0</v>
      </c>
      <c r="K22" s="118"/>
      <c r="M22" s="27" t="e">
        <f t="shared" si="0"/>
        <v>#DIV/0!</v>
      </c>
      <c r="N22" s="114"/>
      <c r="O22" s="114"/>
      <c r="P22" s="114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  <mergeCell ref="G15:H15"/>
    <mergeCell ref="J15:K15"/>
    <mergeCell ref="N15:P15"/>
    <mergeCell ref="B16:F16"/>
    <mergeCell ref="G16:H16"/>
    <mergeCell ref="J16:K16"/>
    <mergeCell ref="N16:P16"/>
    <mergeCell ref="B15:F15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  <mergeCell ref="G21:H21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129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2" t="str">
        <f>IF(Spare!$K$11=1,CONCATENATE(G12,": per cent higher or lower than ",J12),"")</f>
        <v xml:space="preserve">Greater Dandenong : per cent higher or lower than Greater Melbourne </v>
      </c>
      <c r="N8" s="122"/>
    </row>
    <row r="9" spans="1:17" ht="3" customHeight="1">
      <c r="G9" s="8"/>
      <c r="H9" s="8"/>
      <c r="I9" s="8"/>
      <c r="J9" s="8"/>
      <c r="K9" s="8"/>
      <c r="L9" s="8"/>
      <c r="M9" s="122"/>
      <c r="N9" s="122"/>
    </row>
    <row r="10" spans="1:17" ht="3" customHeight="1">
      <c r="G10" s="13"/>
      <c r="H10" s="8"/>
      <c r="I10" s="8"/>
      <c r="J10" s="7"/>
      <c r="K10" s="7"/>
      <c r="L10" s="8"/>
      <c r="M10" s="122"/>
      <c r="N10" s="122"/>
    </row>
    <row r="11" spans="1:17" ht="15" customHeight="1">
      <c r="A11" s="3" t="s">
        <v>50</v>
      </c>
      <c r="G11" s="28"/>
      <c r="H11" s="75">
        <f>Community!H11</f>
        <v>26</v>
      </c>
      <c r="I11" s="8"/>
      <c r="J11" s="75">
        <f>Community!J11</f>
        <v>80</v>
      </c>
      <c r="K11" s="12">
        <v>1</v>
      </c>
      <c r="L11" s="8"/>
      <c r="M11" s="122"/>
      <c r="N11" s="122"/>
    </row>
    <row r="12" spans="1:17" ht="16.5" customHeight="1">
      <c r="B12" s="124" t="str">
        <f>IF(Spare!K11=2,"A high standardized score represents a more favorable outcome","")</f>
        <v/>
      </c>
      <c r="C12" s="124"/>
      <c r="D12" s="124"/>
      <c r="E12" s="124"/>
      <c r="F12" s="124"/>
      <c r="G12" s="123" t="str">
        <f>INDEX('Data 3 Table'!B4:B84,H11)</f>
        <v xml:space="preserve">Greater Dandenong </v>
      </c>
      <c r="H12" s="123"/>
      <c r="I12" s="4"/>
      <c r="J12" s="123" t="str">
        <f>INDEX('Data 3 Table'!B4:B84,J11)</f>
        <v xml:space="preserve">Greater Melbourne </v>
      </c>
      <c r="K12" s="123"/>
      <c r="M12" s="122"/>
      <c r="N12" s="122"/>
      <c r="O12" s="147"/>
      <c r="P12" s="147"/>
      <c r="Q12" s="147"/>
    </row>
    <row r="13" spans="1:17" ht="22.95" customHeight="1">
      <c r="A13" s="10">
        <v>1</v>
      </c>
      <c r="B13" s="120" t="str">
        <f>'Data 3 Table'!Y3</f>
        <v>Per cent of residents who speak languages other than English at home, 2021</v>
      </c>
      <c r="C13" s="120"/>
      <c r="D13" s="120"/>
      <c r="E13" s="120"/>
      <c r="F13" s="120"/>
      <c r="G13" s="126">
        <f>VLOOKUP($H$11,'Data 3 Table'!$A$4:$HH$84,2+$A13)</f>
        <v>163792</v>
      </c>
      <c r="H13" s="126"/>
      <c r="I13" s="11"/>
      <c r="J13" s="126">
        <f>VLOOKUP($J$11,'Data 3 Table'!$A$4:$HH$84,2+$A13)</f>
        <v>5116356</v>
      </c>
      <c r="K13" s="126"/>
      <c r="M13" s="26">
        <f t="shared" ref="M13:M22" si="0">(G13-J13)/J13*100</f>
        <v>-96.798659045617626</v>
      </c>
      <c r="N13" s="115" t="s">
        <v>243</v>
      </c>
      <c r="O13" s="115"/>
      <c r="P13" s="115"/>
      <c r="Q13" s="5"/>
    </row>
    <row r="14" spans="1:17" ht="22.95" customHeight="1">
      <c r="A14" s="10">
        <v>2</v>
      </c>
      <c r="B14" s="119" t="str">
        <f>'Data 3 Table'!D3</f>
        <v>Per cent of residents who feel valued by society, 'never' or 'not often', 2020</v>
      </c>
      <c r="C14" s="119"/>
      <c r="D14" s="119"/>
      <c r="E14" s="119"/>
      <c r="F14" s="119"/>
      <c r="G14" s="121">
        <f>VLOOKUP($H$11,'Data 3 Table'!$A$4:$HH$84,2+$A14)</f>
        <v>17.083480000000002</v>
      </c>
      <c r="H14" s="121"/>
      <c r="I14" s="11"/>
      <c r="J14" s="128">
        <f>VLOOKUP($J$11,'Data 3 Table'!$A$4:$HH$84,2+$A14)</f>
        <v>10.786945193548386</v>
      </c>
      <c r="K14" s="128"/>
      <c r="M14" s="27">
        <f t="shared" si="0"/>
        <v>58.371806785646228</v>
      </c>
      <c r="N14" s="115"/>
      <c r="O14" s="115"/>
      <c r="P14" s="115"/>
      <c r="Q14" s="5"/>
    </row>
    <row r="15" spans="1:17" ht="22.95" customHeight="1">
      <c r="A15" s="10">
        <v>3</v>
      </c>
      <c r="B15" s="120" t="str">
        <f>'Data 3 Table'!J3</f>
        <v>Per cent of residents who engaged in voluntary work in the previous 12 months, 2021</v>
      </c>
      <c r="C15" s="120"/>
      <c r="D15" s="120"/>
      <c r="E15" s="120"/>
      <c r="F15" s="120"/>
      <c r="G15" s="126">
        <f>VLOOKUP($H$11,'Data 3 Table'!$A$4:$HH$84,2+$A15)</f>
        <v>22.229109999999999</v>
      </c>
      <c r="H15" s="126"/>
      <c r="I15" s="11"/>
      <c r="J15" s="126">
        <f>VLOOKUP($J$11,'Data 3 Table'!$A$4:$HH$84,2+$A15)</f>
        <v>13.612406290322577</v>
      </c>
      <c r="K15" s="126"/>
      <c r="M15" s="26">
        <f t="shared" si="0"/>
        <v>63.300371190090523</v>
      </c>
      <c r="N15" s="115"/>
      <c r="O15" s="115"/>
      <c r="P15" s="115"/>
      <c r="Q15" s="5"/>
    </row>
    <row r="16" spans="1:17" ht="22.95" customHeight="1">
      <c r="A16" s="10">
        <v>4</v>
      </c>
      <c r="B16" s="119" t="str">
        <f>'Data 3 Table'!E3</f>
        <v>Per cent of residents who feel that most people could be trusted, 'never' or 'not often', 2020</v>
      </c>
      <c r="C16" s="119"/>
      <c r="D16" s="119"/>
      <c r="E16" s="119"/>
      <c r="F16" s="119"/>
      <c r="G16" s="146">
        <f>VLOOKUP($H$11,'Data 3 Table'!$A$4:$HH$84,2+$A16)</f>
        <v>16.646132000000001</v>
      </c>
      <c r="H16" s="146"/>
      <c r="I16" s="11"/>
      <c r="J16" s="128">
        <f>VLOOKUP($J$11,'Data 3 Table'!$A$4:$HH$84,2+$A16)</f>
        <v>18.302908351612906</v>
      </c>
      <c r="K16" s="128"/>
      <c r="M16" s="27">
        <f t="shared" si="0"/>
        <v>-9.0519840879108422</v>
      </c>
      <c r="N16" s="115"/>
      <c r="O16" s="115"/>
      <c r="P16" s="115"/>
    </row>
    <row r="17" spans="1:17" ht="22.95" customHeight="1">
      <c r="A17" s="10">
        <v>100</v>
      </c>
      <c r="B17" s="120">
        <f>'Data 3 Table'!HI3</f>
        <v>0</v>
      </c>
      <c r="C17" s="120"/>
      <c r="D17" s="120"/>
      <c r="E17" s="120"/>
      <c r="F17" s="120"/>
      <c r="G17" s="126">
        <f>VLOOKUP($H$11,'Data 3 Table'!$A$4:$HI$84,2+$A17)</f>
        <v>294.27566669922828</v>
      </c>
      <c r="H17" s="126"/>
      <c r="I17" s="11"/>
      <c r="J17" s="126">
        <f>VLOOKUP($J$11,'Data 3 Table'!$A$4:$HI$84,2+$A17)</f>
        <v>199.26291290129146</v>
      </c>
      <c r="K17" s="126"/>
      <c r="M17" s="26">
        <f t="shared" si="0"/>
        <v>47.682106225659332</v>
      </c>
      <c r="N17" s="115"/>
      <c r="O17" s="115"/>
      <c r="P17" s="115"/>
      <c r="Q17" s="5"/>
    </row>
    <row r="18" spans="1:17" ht="22.95" customHeight="1">
      <c r="A18" s="10">
        <v>88</v>
      </c>
      <c r="B18" s="130">
        <f>'Data 3 Table'!GW3</f>
        <v>0</v>
      </c>
      <c r="C18" s="119"/>
      <c r="D18" s="119"/>
      <c r="E18" s="119"/>
      <c r="F18" s="119"/>
      <c r="G18" s="121">
        <f>VLOOKUP($H$11,'Data 3 Table'!$A$4:$HI$84,2+$A18)</f>
        <v>0</v>
      </c>
      <c r="H18" s="121"/>
      <c r="I18" s="11"/>
      <c r="J18" s="128">
        <f>VLOOKUP($J$11,'Data 3 Table'!$A$4:$HI$84,2+$A18)</f>
        <v>0</v>
      </c>
      <c r="K18" s="128"/>
      <c r="M18" s="27" t="e">
        <f t="shared" si="0"/>
        <v>#DIV/0!</v>
      </c>
      <c r="N18" s="115"/>
      <c r="O18" s="115"/>
      <c r="P18" s="115"/>
    </row>
    <row r="19" spans="1:17" ht="22.95" customHeight="1">
      <c r="A19" s="10">
        <v>89</v>
      </c>
      <c r="B19" s="131">
        <f>'Data 3 Table'!GX3</f>
        <v>0</v>
      </c>
      <c r="C19" s="120"/>
      <c r="D19" s="120"/>
      <c r="E19" s="120"/>
      <c r="F19" s="120"/>
      <c r="G19" s="126">
        <f>VLOOKUP($H$11,'Data 3 Table'!$A$4:$HI$84,2+$A19)</f>
        <v>0</v>
      </c>
      <c r="H19" s="126"/>
      <c r="I19" s="11"/>
      <c r="J19" s="126">
        <f>VLOOKUP($J$11,'Data 3 Table'!$A$4:$HI$84,2+$A19)</f>
        <v>0</v>
      </c>
      <c r="K19" s="126"/>
      <c r="M19" s="26" t="e">
        <f t="shared" si="0"/>
        <v>#DIV/0!</v>
      </c>
      <c r="N19" s="115"/>
      <c r="O19" s="115"/>
      <c r="P19" s="115"/>
    </row>
    <row r="20" spans="1:17" ht="22.95" customHeight="1">
      <c r="A20" s="10">
        <v>75</v>
      </c>
      <c r="B20" s="130" t="str">
        <f>'Data 3 Table'!DA3</f>
        <v>Violent offence rate, per 100,000 pop., 2023/24</v>
      </c>
      <c r="C20" s="119"/>
      <c r="D20" s="119"/>
      <c r="E20" s="119"/>
      <c r="F20" s="119"/>
      <c r="G20" s="121">
        <f>VLOOKUP($H$11,'Data 3 Table'!$A$4:$HI$84,2+$A20)</f>
        <v>2.0545409674234945</v>
      </c>
      <c r="H20" s="121"/>
      <c r="I20" s="11"/>
      <c r="J20" s="128">
        <f>VLOOKUP($J$11,'Data 3 Table'!$A$4:$HI$84,2+$A20)</f>
        <v>2.4924609831731992</v>
      </c>
      <c r="K20" s="128"/>
      <c r="M20" s="27">
        <f t="shared" si="0"/>
        <v>-17.569784189447191</v>
      </c>
      <c r="N20" s="115"/>
      <c r="O20" s="115"/>
      <c r="P20" s="115"/>
    </row>
    <row r="21" spans="1:17" ht="22.95" customHeight="1">
      <c r="B21" s="131"/>
      <c r="C21" s="120"/>
      <c r="D21" s="120"/>
      <c r="E21" s="120"/>
      <c r="F21" s="120"/>
      <c r="G21" s="74"/>
      <c r="H21" s="74"/>
      <c r="J21" s="126"/>
      <c r="K21" s="126"/>
      <c r="M21" s="26" t="e">
        <f t="shared" si="0"/>
        <v>#DIV/0!</v>
      </c>
      <c r="N21" s="115"/>
      <c r="O21" s="115"/>
      <c r="P21" s="115"/>
    </row>
    <row r="22" spans="1:17" ht="22.95" customHeight="1">
      <c r="B22" s="130"/>
      <c r="C22" s="119"/>
      <c r="D22" s="119"/>
      <c r="E22" s="119"/>
      <c r="F22" s="119"/>
      <c r="G22" s="121"/>
      <c r="H22" s="121"/>
      <c r="I22" s="11"/>
      <c r="J22" s="128"/>
      <c r="K22" s="128"/>
      <c r="M22" s="27" t="e">
        <f t="shared" si="0"/>
        <v>#DIV/0!</v>
      </c>
      <c r="N22" s="115"/>
      <c r="O22" s="115"/>
      <c r="P22" s="115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O12:Q12"/>
    <mergeCell ref="B7:K7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  <mergeCell ref="B15:F15"/>
    <mergeCell ref="G15:H15"/>
    <mergeCell ref="J15:K15"/>
    <mergeCell ref="N15:P15"/>
    <mergeCell ref="B16:F16"/>
    <mergeCell ref="G16:H16"/>
    <mergeCell ref="J16:K16"/>
    <mergeCell ref="N16:P16"/>
    <mergeCell ref="B17:F17"/>
    <mergeCell ref="G17:H17"/>
    <mergeCell ref="J17:K17"/>
    <mergeCell ref="N17:P17"/>
    <mergeCell ref="B18:F18"/>
    <mergeCell ref="G18:H18"/>
    <mergeCell ref="J18:K18"/>
    <mergeCell ref="N18:P18"/>
    <mergeCell ref="B19:F19"/>
    <mergeCell ref="G19:H19"/>
    <mergeCell ref="J19:K19"/>
    <mergeCell ref="N19:P19"/>
    <mergeCell ref="B20:F20"/>
    <mergeCell ref="G20:H20"/>
    <mergeCell ref="J20:K20"/>
    <mergeCell ref="N20:P20"/>
    <mergeCell ref="B21:F21"/>
    <mergeCell ref="J21:K21"/>
    <mergeCell ref="N21:P21"/>
    <mergeCell ref="B22:F22"/>
    <mergeCell ref="G22:H22"/>
    <mergeCell ref="J22:K22"/>
    <mergeCell ref="N22:P2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29" t="s">
        <v>53</v>
      </c>
      <c r="C7" s="129"/>
      <c r="D7" s="129"/>
      <c r="E7" s="129"/>
      <c r="F7" s="129"/>
      <c r="G7" s="129"/>
      <c r="H7" s="129"/>
      <c r="I7" s="129"/>
      <c r="J7" s="129"/>
      <c r="K7" s="129"/>
      <c r="L7" s="29"/>
    </row>
    <row r="8" spans="1:15">
      <c r="A8" s="25"/>
      <c r="B8" s="148" t="s">
        <v>48</v>
      </c>
      <c r="C8" s="148"/>
      <c r="D8" s="148"/>
      <c r="E8" s="148"/>
      <c r="F8" s="148"/>
      <c r="G8" s="148"/>
      <c r="H8" s="148"/>
      <c r="I8" s="148"/>
      <c r="J8" s="148"/>
      <c r="K8" s="148"/>
      <c r="L8" s="25"/>
      <c r="M8" s="77"/>
      <c r="N8" s="21"/>
      <c r="O8" s="21"/>
    </row>
    <row r="9" spans="1:15" ht="10.5" customHeight="1">
      <c r="A9" s="25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25"/>
      <c r="M9" s="77"/>
      <c r="N9" s="21"/>
      <c r="O9" s="154" t="s">
        <v>242</v>
      </c>
    </row>
    <row r="10" spans="1:15" ht="18.75" customHeight="1">
      <c r="A10" s="25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25"/>
      <c r="M10" s="77"/>
      <c r="N10" s="21"/>
      <c r="O10" s="155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55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55" t="s">
        <v>197</v>
      </c>
    </row>
    <row r="13" spans="1:15" ht="34.5" customHeight="1">
      <c r="A13" s="149" t="str">
        <f>INDEX(O9:O178,C12)</f>
        <v>Per cent 20-24 year olds not in paid employment or enrolled in formal education, 2021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25"/>
      <c r="M13" s="77"/>
      <c r="N13" s="21"/>
      <c r="O13" s="155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55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55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55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55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55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55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55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55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55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55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55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55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55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55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55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55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55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55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55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56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56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56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56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55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55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55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55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55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55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55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55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55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55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55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55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55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55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55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55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55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55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55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55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55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55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55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55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55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55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55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55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55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55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55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55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55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55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55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55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55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55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55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55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55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55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55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55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55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55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55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55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55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55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55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55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55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55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55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55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55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55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55"/>
    </row>
    <row r="96" spans="1:15">
      <c r="O96" s="155"/>
    </row>
    <row r="97" spans="15:15">
      <c r="O97" s="155"/>
    </row>
    <row r="98" spans="15:15">
      <c r="O98" s="155" t="s">
        <v>332</v>
      </c>
    </row>
    <row r="99" spans="15:15">
      <c r="O99" s="155" t="s">
        <v>203</v>
      </c>
    </row>
    <row r="100" spans="15:15">
      <c r="O100" s="155" t="s">
        <v>204</v>
      </c>
    </row>
    <row r="101" spans="15:15" ht="15.6">
      <c r="O101" s="155" t="s">
        <v>205</v>
      </c>
    </row>
    <row r="102" spans="15:15">
      <c r="O102" s="155" t="s">
        <v>206</v>
      </c>
    </row>
    <row r="103" spans="15:15">
      <c r="O103" s="155" t="s">
        <v>207</v>
      </c>
    </row>
    <row r="104" spans="15:15">
      <c r="O104" s="155" t="s">
        <v>339</v>
      </c>
    </row>
    <row r="105" spans="15:15">
      <c r="O105" s="155" t="s">
        <v>209</v>
      </c>
    </row>
    <row r="106" spans="15:15">
      <c r="O106" s="155" t="s">
        <v>210</v>
      </c>
    </row>
    <row r="107" spans="15:15">
      <c r="O107" s="155" t="s">
        <v>211</v>
      </c>
    </row>
    <row r="108" spans="15:15">
      <c r="O108" s="155" t="s">
        <v>267</v>
      </c>
    </row>
    <row r="109" spans="15:15">
      <c r="O109" s="155" t="s">
        <v>294</v>
      </c>
    </row>
    <row r="110" spans="15:15">
      <c r="O110" s="155" t="s">
        <v>155</v>
      </c>
    </row>
    <row r="111" spans="15:15">
      <c r="O111" s="155" t="s">
        <v>153</v>
      </c>
    </row>
    <row r="112" spans="15:15">
      <c r="O112" s="155" t="s">
        <v>156</v>
      </c>
    </row>
    <row r="113" spans="15:15">
      <c r="O113" s="155" t="s">
        <v>170</v>
      </c>
    </row>
    <row r="114" spans="15:15">
      <c r="O114" s="155" t="s">
        <v>300</v>
      </c>
    </row>
    <row r="115" spans="15:15">
      <c r="O115" s="155"/>
    </row>
    <row r="116" spans="15:15">
      <c r="O116" s="155"/>
    </row>
    <row r="117" spans="15:15">
      <c r="O117" s="155"/>
    </row>
    <row r="118" spans="15:15">
      <c r="O118" s="155" t="s">
        <v>268</v>
      </c>
    </row>
    <row r="119" spans="15:15">
      <c r="O119" s="155" t="s">
        <v>316</v>
      </c>
    </row>
    <row r="120" spans="15:15">
      <c r="O120" s="155" t="s">
        <v>335</v>
      </c>
    </row>
    <row r="121" spans="15:15">
      <c r="O121" s="155" t="s">
        <v>333</v>
      </c>
    </row>
    <row r="122" spans="15:15">
      <c r="O122" s="155" t="s">
        <v>139</v>
      </c>
    </row>
    <row r="123" spans="15:15">
      <c r="O123" s="155" t="s">
        <v>136</v>
      </c>
    </row>
    <row r="124" spans="15:15">
      <c r="O124" s="155"/>
    </row>
    <row r="125" spans="15:15">
      <c r="O125" s="155"/>
    </row>
    <row r="126" spans="15:15">
      <c r="O126" s="155"/>
    </row>
    <row r="127" spans="15:15">
      <c r="O127" s="155"/>
    </row>
    <row r="128" spans="15:15">
      <c r="O128" s="155" t="s">
        <v>270</v>
      </c>
    </row>
    <row r="129" spans="15:15">
      <c r="O129" s="155" t="s">
        <v>304</v>
      </c>
    </row>
    <row r="130" spans="15:15">
      <c r="O130" s="155" t="s">
        <v>137</v>
      </c>
    </row>
    <row r="131" spans="15:15">
      <c r="O131" s="155" t="s">
        <v>140</v>
      </c>
    </row>
    <row r="132" spans="15:15">
      <c r="O132" s="155" t="s">
        <v>212</v>
      </c>
    </row>
    <row r="133" spans="15:15">
      <c r="O133" s="155" t="s">
        <v>213</v>
      </c>
    </row>
    <row r="134" spans="15:15">
      <c r="O134" s="155"/>
    </row>
    <row r="135" spans="15:15">
      <c r="O135" s="155"/>
    </row>
    <row r="136" spans="15:15">
      <c r="O136" s="155"/>
    </row>
    <row r="137" spans="15:15">
      <c r="O137" s="155"/>
    </row>
    <row r="138" spans="15:15">
      <c r="O138" s="155" t="s">
        <v>269</v>
      </c>
    </row>
    <row r="139" spans="15:15">
      <c r="O139" s="155" t="s">
        <v>214</v>
      </c>
    </row>
    <row r="140" spans="15:15">
      <c r="O140" s="155" t="s">
        <v>146</v>
      </c>
    </row>
    <row r="141" spans="15:15">
      <c r="O141" s="155" t="s">
        <v>148</v>
      </c>
    </row>
    <row r="142" spans="15:15" ht="15.6">
      <c r="O142" s="155" t="s">
        <v>162</v>
      </c>
    </row>
    <row r="143" spans="15:15">
      <c r="O143" s="155" t="s">
        <v>141</v>
      </c>
    </row>
    <row r="144" spans="15:15">
      <c r="O144" s="155" t="s">
        <v>142</v>
      </c>
    </row>
    <row r="145" spans="15:15">
      <c r="O145" s="155" t="s">
        <v>154</v>
      </c>
    </row>
    <row r="146" spans="15:15">
      <c r="O146" s="155"/>
    </row>
    <row r="147" spans="15:15">
      <c r="O147" s="155"/>
    </row>
    <row r="148" spans="15:15">
      <c r="O148" s="155" t="s">
        <v>271</v>
      </c>
    </row>
    <row r="149" spans="15:15">
      <c r="O149" s="155" t="s">
        <v>305</v>
      </c>
    </row>
    <row r="150" spans="15:15">
      <c r="O150" s="155" t="s">
        <v>147</v>
      </c>
    </row>
    <row r="151" spans="15:15">
      <c r="O151" s="155" t="s">
        <v>295</v>
      </c>
    </row>
    <row r="152" spans="15:15">
      <c r="O152" s="155" t="s">
        <v>158</v>
      </c>
    </row>
    <row r="153" spans="15:15" ht="15.6">
      <c r="O153" s="155" t="s">
        <v>297</v>
      </c>
    </row>
    <row r="154" spans="15:15">
      <c r="O154" s="155" t="s">
        <v>296</v>
      </c>
    </row>
    <row r="155" spans="15:15">
      <c r="O155" s="155" t="s">
        <v>302</v>
      </c>
    </row>
    <row r="156" spans="15:15">
      <c r="O156" s="155" t="s">
        <v>143</v>
      </c>
    </row>
    <row r="157" spans="15:15">
      <c r="O157" s="155"/>
    </row>
    <row r="158" spans="15:15">
      <c r="O158" s="155" t="s">
        <v>272</v>
      </c>
    </row>
    <row r="159" spans="15:15" ht="15.6">
      <c r="O159" s="155" t="s">
        <v>327</v>
      </c>
    </row>
    <row r="160" spans="15:15" ht="15.6">
      <c r="O160" s="155" t="s">
        <v>165</v>
      </c>
    </row>
    <row r="161" spans="15:15" ht="15.6">
      <c r="O161" s="155" t="s">
        <v>215</v>
      </c>
    </row>
    <row r="162" spans="15:15" ht="15.6">
      <c r="O162" s="155" t="s">
        <v>166</v>
      </c>
    </row>
    <row r="163" spans="15:15" ht="15.6">
      <c r="O163" s="155" t="s">
        <v>167</v>
      </c>
    </row>
    <row r="164" spans="15:15" ht="15.6">
      <c r="O164" s="155" t="s">
        <v>240</v>
      </c>
    </row>
    <row r="165" spans="15:15">
      <c r="O165" s="155" t="s">
        <v>169</v>
      </c>
    </row>
    <row r="166" spans="15:15" ht="15.6">
      <c r="O166" s="155" t="s">
        <v>241</v>
      </c>
    </row>
    <row r="167" spans="15:15">
      <c r="O167" s="155" t="s">
        <v>168</v>
      </c>
    </row>
    <row r="168" spans="15:15">
      <c r="O168" s="155" t="s">
        <v>170</v>
      </c>
    </row>
    <row r="169" spans="15:15">
      <c r="O169" s="155" t="s">
        <v>172</v>
      </c>
    </row>
    <row r="170" spans="15:15">
      <c r="O170" s="155" t="s">
        <v>171</v>
      </c>
    </row>
    <row r="171" spans="15:15">
      <c r="O171" s="155" t="s">
        <v>216</v>
      </c>
    </row>
    <row r="172" spans="15:15">
      <c r="O172" s="155" t="s">
        <v>217</v>
      </c>
    </row>
    <row r="173" spans="15:15">
      <c r="O173" s="155" t="s">
        <v>218</v>
      </c>
    </row>
    <row r="174" spans="15:15">
      <c r="O174" s="155"/>
    </row>
    <row r="175" spans="15:15">
      <c r="O175" s="155"/>
    </row>
    <row r="176" spans="15:15">
      <c r="O176" s="155"/>
    </row>
    <row r="177" spans="15:15">
      <c r="O177" s="155"/>
    </row>
    <row r="178" spans="15:15">
      <c r="O178" s="155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29" t="s">
        <v>54</v>
      </c>
      <c r="C7" s="129"/>
      <c r="D7" s="129"/>
      <c r="E7" s="129"/>
      <c r="F7" s="129"/>
      <c r="G7" s="129"/>
      <c r="H7" s="129"/>
      <c r="I7" s="129"/>
      <c r="J7" s="129"/>
      <c r="K7" s="129"/>
      <c r="L7" s="2"/>
      <c r="M7" s="2"/>
    </row>
    <row r="8" spans="1:15" ht="12.75" customHeight="1">
      <c r="A8" s="20"/>
      <c r="B8" s="150" t="s">
        <v>49</v>
      </c>
      <c r="C8" s="150"/>
      <c r="D8" s="150"/>
      <c r="E8" s="150"/>
      <c r="F8" s="150"/>
      <c r="G8" s="150"/>
      <c r="H8" s="150"/>
      <c r="I8" s="150"/>
      <c r="J8" s="150"/>
      <c r="K8" s="150"/>
      <c r="L8" s="20"/>
      <c r="M8" s="77"/>
      <c r="N8" s="77"/>
      <c r="O8" s="21"/>
    </row>
    <row r="9" spans="1:15" ht="3" customHeight="1">
      <c r="A9" s="2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20"/>
      <c r="M9" s="77"/>
      <c r="N9" s="77"/>
      <c r="O9" s="157" t="s">
        <v>242</v>
      </c>
    </row>
    <row r="10" spans="1:15" ht="13.5" customHeight="1">
      <c r="A10" s="2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20"/>
      <c r="M10" s="77"/>
      <c r="N10" s="77"/>
      <c r="O10" s="157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57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57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57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57" t="s">
        <v>190</v>
      </c>
    </row>
    <row r="15" spans="1:15" ht="12.75" customHeight="1">
      <c r="A15" s="151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57" t="s">
        <v>191</v>
      </c>
    </row>
    <row r="16" spans="1:15" ht="21" customHeight="1">
      <c r="A16" s="15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57" t="s">
        <v>199</v>
      </c>
    </row>
    <row r="17" spans="1:15" ht="21" customHeight="1">
      <c r="A17" s="151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57"/>
    </row>
    <row r="18" spans="1:15" ht="21" customHeight="1">
      <c r="A18" s="151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57"/>
    </row>
    <row r="19" spans="1:15" ht="21" customHeight="1">
      <c r="A19" s="151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57" t="s">
        <v>222</v>
      </c>
    </row>
    <row r="20" spans="1:15" ht="21" customHeight="1">
      <c r="A20" s="151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57" t="s">
        <v>223</v>
      </c>
    </row>
    <row r="21" spans="1:15" ht="21" customHeight="1">
      <c r="A21" s="151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57" t="s">
        <v>282</v>
      </c>
    </row>
    <row r="22" spans="1:15" ht="21" customHeight="1">
      <c r="A22" s="151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57" t="s">
        <v>283</v>
      </c>
    </row>
    <row r="23" spans="1:15" ht="21" customHeight="1">
      <c r="A23" s="151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57" t="s">
        <v>285</v>
      </c>
    </row>
    <row r="24" spans="1:15" ht="21" customHeight="1">
      <c r="A24" s="151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57" t="s">
        <v>286</v>
      </c>
    </row>
    <row r="25" spans="1:15" ht="21" customHeight="1">
      <c r="A25" s="151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57" t="s">
        <v>287</v>
      </c>
    </row>
    <row r="26" spans="1:15" ht="21" customHeight="1">
      <c r="A26" s="151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57" t="s">
        <v>284</v>
      </c>
    </row>
    <row r="27" spans="1:15" ht="21" customHeight="1">
      <c r="A27" s="151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57"/>
    </row>
    <row r="28" spans="1:15" ht="21" customHeight="1">
      <c r="A28" s="151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57"/>
    </row>
    <row r="29" spans="1:15" ht="21" customHeight="1">
      <c r="A29" s="151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57" t="s">
        <v>306</v>
      </c>
    </row>
    <row r="30" spans="1:15" ht="21" customHeight="1">
      <c r="A30" s="151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57" t="s">
        <v>273</v>
      </c>
    </row>
    <row r="31" spans="1:15" ht="21" customHeight="1">
      <c r="A31" s="151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57" t="s">
        <v>301</v>
      </c>
    </row>
    <row r="32" spans="1:15" ht="21" customHeight="1">
      <c r="A32" s="151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57" t="s">
        <v>192</v>
      </c>
    </row>
    <row r="33" spans="1:15" ht="21" customHeight="1">
      <c r="A33" s="151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57" t="s">
        <v>278</v>
      </c>
    </row>
    <row r="34" spans="1:15" ht="1.5" customHeight="1">
      <c r="A34" s="151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57" t="s">
        <v>279</v>
      </c>
    </row>
    <row r="35" spans="1:15" ht="1.5" customHeight="1">
      <c r="A35" s="151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57" t="s">
        <v>280</v>
      </c>
    </row>
    <row r="36" spans="1:15" ht="1.5" customHeight="1">
      <c r="A36" s="151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57" t="s">
        <v>281</v>
      </c>
    </row>
    <row r="37" spans="1:15" ht="11.25" customHeight="1">
      <c r="A37" s="151"/>
      <c r="B37" s="153" t="str">
        <f>INDEX(O9:O1733,Correlations!C12)</f>
        <v>Per cent 20-24 year olds not in paid employment or enrolled in formal education, 2021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77"/>
      <c r="O37" s="157" t="s">
        <v>220</v>
      </c>
    </row>
    <row r="38" spans="1:15" ht="1.5" customHeight="1">
      <c r="A38" s="20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77"/>
      <c r="O38" s="157"/>
    </row>
    <row r="39" spans="1:15" ht="15.75" customHeight="1">
      <c r="A39" s="77"/>
      <c r="B39" s="152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77"/>
      <c r="O39" s="157" t="s">
        <v>138</v>
      </c>
    </row>
    <row r="40" spans="1:15" ht="15.75" customHeight="1">
      <c r="A40" s="77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77"/>
      <c r="O40" s="157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57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57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57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57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57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57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57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57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57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57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57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57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57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57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57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57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57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57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57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57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57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57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57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57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57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57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57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57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57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57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57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57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57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57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57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57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57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57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57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57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57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57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57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57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57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57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57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57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57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57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57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57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57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57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57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57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57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57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57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57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57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57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57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57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57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57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57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57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57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57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57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57" t="s">
        <v>156</v>
      </c>
    </row>
    <row r="113" spans="15:15">
      <c r="O113" s="157" t="s">
        <v>170</v>
      </c>
    </row>
    <row r="114" spans="15:15">
      <c r="O114" s="157" t="s">
        <v>300</v>
      </c>
    </row>
    <row r="115" spans="15:15">
      <c r="O115" s="157"/>
    </row>
    <row r="116" spans="15:15">
      <c r="O116" s="157"/>
    </row>
    <row r="117" spans="15:15">
      <c r="O117" s="157"/>
    </row>
    <row r="118" spans="15:15">
      <c r="O118" s="157"/>
    </row>
    <row r="119" spans="15:15">
      <c r="O119" s="157" t="s">
        <v>316</v>
      </c>
    </row>
    <row r="120" spans="15:15">
      <c r="O120" s="157" t="s">
        <v>335</v>
      </c>
    </row>
    <row r="121" spans="15:15">
      <c r="O121" s="157" t="s">
        <v>333</v>
      </c>
    </row>
    <row r="122" spans="15:15">
      <c r="O122" s="157" t="s">
        <v>139</v>
      </c>
    </row>
    <row r="123" spans="15:15">
      <c r="O123" s="158" t="s">
        <v>136</v>
      </c>
    </row>
    <row r="124" spans="15:15">
      <c r="O124" s="158"/>
    </row>
    <row r="125" spans="15:15">
      <c r="O125" s="158"/>
    </row>
    <row r="126" spans="15:15">
      <c r="O126" s="158"/>
    </row>
    <row r="127" spans="15:15">
      <c r="O127" s="158"/>
    </row>
    <row r="128" spans="15:15">
      <c r="O128" s="158"/>
    </row>
    <row r="129" spans="15:15">
      <c r="O129" s="158" t="s">
        <v>304</v>
      </c>
    </row>
    <row r="130" spans="15:15">
      <c r="O130" s="158" t="s">
        <v>137</v>
      </c>
    </row>
    <row r="131" spans="15:15">
      <c r="O131" s="158" t="s">
        <v>140</v>
      </c>
    </row>
    <row r="132" spans="15:15">
      <c r="O132" s="158" t="s">
        <v>212</v>
      </c>
    </row>
    <row r="133" spans="15:15">
      <c r="O133" s="158" t="s">
        <v>213</v>
      </c>
    </row>
    <row r="134" spans="15:15">
      <c r="O134" s="158"/>
    </row>
    <row r="135" spans="15:15">
      <c r="O135" s="158"/>
    </row>
    <row r="136" spans="15:15">
      <c r="O136" s="158"/>
    </row>
    <row r="137" spans="15:15">
      <c r="O137" s="158"/>
    </row>
    <row r="138" spans="15:15">
      <c r="O138" s="158"/>
    </row>
    <row r="139" spans="15:15">
      <c r="O139" s="158" t="s">
        <v>214</v>
      </c>
    </row>
    <row r="140" spans="15:15">
      <c r="O140" s="158" t="s">
        <v>146</v>
      </c>
    </row>
    <row r="141" spans="15:15">
      <c r="O141" s="158" t="s">
        <v>148</v>
      </c>
    </row>
    <row r="142" spans="15:15">
      <c r="O142" s="158" t="s">
        <v>162</v>
      </c>
    </row>
    <row r="143" spans="15:15">
      <c r="O143" s="158" t="s">
        <v>141</v>
      </c>
    </row>
    <row r="144" spans="15:15">
      <c r="O144" s="158" t="s">
        <v>142</v>
      </c>
    </row>
    <row r="145" spans="15:15">
      <c r="O145" s="158" t="s">
        <v>154</v>
      </c>
    </row>
    <row r="146" spans="15:15">
      <c r="O146" s="158"/>
    </row>
    <row r="147" spans="15:15">
      <c r="O147" s="158"/>
    </row>
    <row r="148" spans="15:15">
      <c r="O148" s="158"/>
    </row>
    <row r="149" spans="15:15">
      <c r="O149" s="158" t="s">
        <v>305</v>
      </c>
    </row>
    <row r="150" spans="15:15">
      <c r="O150" s="158" t="s">
        <v>147</v>
      </c>
    </row>
    <row r="151" spans="15:15">
      <c r="O151" s="158" t="s">
        <v>295</v>
      </c>
    </row>
    <row r="152" spans="15:15">
      <c r="O152" s="158" t="s">
        <v>158</v>
      </c>
    </row>
    <row r="153" spans="15:15">
      <c r="O153" s="158" t="s">
        <v>297</v>
      </c>
    </row>
    <row r="154" spans="15:15">
      <c r="O154" s="158" t="s">
        <v>296</v>
      </c>
    </row>
    <row r="155" spans="15:15">
      <c r="O155" s="158" t="s">
        <v>302</v>
      </c>
    </row>
    <row r="156" spans="15:15">
      <c r="O156" s="158" t="s">
        <v>143</v>
      </c>
    </row>
    <row r="157" spans="15:15">
      <c r="O157" s="158"/>
    </row>
    <row r="158" spans="15:15">
      <c r="O158" s="158"/>
    </row>
    <row r="159" spans="15:15">
      <c r="O159" s="158" t="s">
        <v>327</v>
      </c>
    </row>
    <row r="160" spans="15:15">
      <c r="O160" s="158" t="s">
        <v>165</v>
      </c>
    </row>
    <row r="161" spans="15:15">
      <c r="O161" s="158" t="s">
        <v>215</v>
      </c>
    </row>
    <row r="162" spans="15:15">
      <c r="O162" s="158" t="s">
        <v>166</v>
      </c>
    </row>
    <row r="163" spans="15:15">
      <c r="O163" s="158" t="s">
        <v>167</v>
      </c>
    </row>
    <row r="164" spans="15:15">
      <c r="O164" s="158" t="s">
        <v>240</v>
      </c>
    </row>
    <row r="165" spans="15:15">
      <c r="O165" s="158" t="s">
        <v>169</v>
      </c>
    </row>
    <row r="166" spans="15:15">
      <c r="O166" s="158" t="s">
        <v>241</v>
      </c>
    </row>
    <row r="167" spans="15:15">
      <c r="O167" s="158" t="s">
        <v>168</v>
      </c>
    </row>
    <row r="168" spans="15:15">
      <c r="O168" s="158" t="s">
        <v>170</v>
      </c>
    </row>
    <row r="169" spans="15:15">
      <c r="O169" s="158" t="s">
        <v>172</v>
      </c>
    </row>
    <row r="170" spans="15:15">
      <c r="O170" s="158" t="s">
        <v>171</v>
      </c>
    </row>
    <row r="171" spans="15:15">
      <c r="O171" s="158" t="s">
        <v>216</v>
      </c>
    </row>
    <row r="172" spans="15:15">
      <c r="O172" s="158" t="s">
        <v>217</v>
      </c>
    </row>
    <row r="173" spans="15:15">
      <c r="O173" s="158" t="s">
        <v>218</v>
      </c>
    </row>
    <row r="174" spans="15:15">
      <c r="O174" s="158"/>
    </row>
    <row r="175" spans="15:15">
      <c r="O175" s="158"/>
    </row>
    <row r="176" spans="15:15">
      <c r="O176" s="158"/>
    </row>
    <row r="177" spans="15:15">
      <c r="O177" s="158"/>
    </row>
    <row r="178" spans="15:15">
      <c r="O178" s="158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A11483063</value>
    </field>
    <field name="Objective-Title">
      <value order="0">2024 Municipal Indicators of Community Health and Wellbeing</value>
    </field>
    <field name="Objective-Description">
      <value order="0"/>
    </field>
    <field name="Objective-CreationStamp">
      <value order="0">2024-11-04T04:33:41Z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2024-11-04T04:34:57Z</value>
    </field>
    <field name="Objective-ModificationStamp">
      <value order="0">2024-11-04T05:24:06Z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vA14508724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2024-11-04T04:33:42Z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A11483063</vt:lpwstr>
  </property>
  <property fmtid="{D5CDD505-2E9C-101B-9397-08002B2CF9AE}" pid="4" name="Objective-Title">
    <vt:lpwstr>2024 Municipal Indicators of Community Health and Wellbeing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2024-11-04T04:33:41Z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2024-11-04T04:34:57Z</vt:filetime>
  </property>
  <property fmtid="{D5CDD505-2E9C-101B-9397-08002B2CF9AE}" pid="10" name="Objective-ModificationStamp">
    <vt:filetime>2024-11-04T05:24:06Z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vA14508724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